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7" activeTab="0"/>
  </bookViews>
  <sheets>
    <sheet name="разбивка по домам 2015год" sheetId="1" r:id="rId1"/>
  </sheets>
  <definedNames/>
  <calcPr fullCalcOnLoad="1"/>
</workbook>
</file>

<file path=xl/sharedStrings.xml><?xml version="1.0" encoding="utf-8"?>
<sst xmlns="http://schemas.openxmlformats.org/spreadsheetml/2006/main" count="3228" uniqueCount="159">
  <si>
    <t>Информация</t>
  </si>
  <si>
    <t xml:space="preserve"> ООО «Радиострой» за 9 месяцев 2015г.</t>
  </si>
  <si>
    <t>по ст.Кавказская ул. 60 Лет СССР, 7б</t>
  </si>
  <si>
    <t xml:space="preserve"> </t>
  </si>
  <si>
    <t>руб.</t>
  </si>
  <si>
    <t>Общая площадь  дома,м²</t>
  </si>
  <si>
    <t>Содержание и текущий ремонт жилищного фонда :</t>
  </si>
  <si>
    <t>Начислено</t>
  </si>
  <si>
    <t xml:space="preserve">Оплачено </t>
  </si>
  <si>
    <t>Отклонение</t>
  </si>
  <si>
    <t>Расходы :</t>
  </si>
  <si>
    <t>т.руб</t>
  </si>
  <si>
    <t>Текущий ремонт</t>
  </si>
  <si>
    <t>Обслуживание конструктивных элементов и инженерного оборудования зданий</t>
  </si>
  <si>
    <t xml:space="preserve">Управляющая компания </t>
  </si>
  <si>
    <t>Дворовая территория</t>
  </si>
  <si>
    <t>Обслуживание венканалов и дымоходов</t>
  </si>
  <si>
    <t>Дератизация и дезинфекция</t>
  </si>
  <si>
    <t>Услуги АРС</t>
  </si>
  <si>
    <t>Прочие ( налоги, возмещение банку)</t>
  </si>
  <si>
    <t>Вывоз ТБО и крупногабаритного мусора</t>
  </si>
  <si>
    <t>Итого расходов</t>
  </si>
  <si>
    <t>Экономист ООО «Радиострой»                      В.В.Бычкова</t>
  </si>
  <si>
    <t>согласно калькуляции</t>
  </si>
  <si>
    <t>затраты на 1 м² общ площ.</t>
  </si>
  <si>
    <t>т.руб.</t>
  </si>
  <si>
    <t>Текущий ремонт (тех.обходы, тех.обслуж.электропр.)</t>
  </si>
  <si>
    <t>Услуги сторонних организаций</t>
  </si>
  <si>
    <t>Рентабельность 10%</t>
  </si>
  <si>
    <t>Всего расходов</t>
  </si>
  <si>
    <t xml:space="preserve"> ООО «Радиострой» за   2015г.</t>
  </si>
  <si>
    <t>по 30 Лет Победы, д.7</t>
  </si>
  <si>
    <t>Доп.услуги на ремонт дома :</t>
  </si>
  <si>
    <t>Оплачено</t>
  </si>
  <si>
    <t>Ремонт и обслуживание внутридомового инженерного оборудования и конструктивных элементов здания – всего:</t>
  </si>
  <si>
    <t>аварийное, техническое обслуживание и обходы конструктивных элементов, инженерного и электрического обслуживания МКД</t>
  </si>
  <si>
    <t>услуги по ремонту конструктивного и инженерного оборудования зданий</t>
  </si>
  <si>
    <t>А/услуги</t>
  </si>
  <si>
    <t>Благоустройство и обеспечение санитарного состояния жилых зданий и придомовых территорий - всего</t>
  </si>
  <si>
    <t>Обслуживание вентканалов и дымоходов</t>
  </si>
  <si>
    <t>Услуги на проведение дератизационных и дезинфекционных работ</t>
  </si>
  <si>
    <t>МАФ</t>
  </si>
  <si>
    <t xml:space="preserve">Вывоз ТБО </t>
  </si>
  <si>
    <t>Экономист ООО «Радиострой»                              В.В.Бычкова</t>
  </si>
  <si>
    <t>по Аэродромный, д.3</t>
  </si>
  <si>
    <t>Содержание и текущий ремонт жилищного фонда; вкл. доп.услуги на оплату зарплаты председателю дом.комитета :</t>
  </si>
  <si>
    <t>Зар/плата председателя дом.комитета</t>
  </si>
  <si>
    <t>Экономист ООО «Радиострой»                                             В.В.Бычкова</t>
  </si>
  <si>
    <t>по Аэродромный, д.13</t>
  </si>
  <si>
    <t>по Аэродромный, д.16</t>
  </si>
  <si>
    <t>по Базарная, д.10</t>
  </si>
  <si>
    <t>по Базарная, д.14</t>
  </si>
  <si>
    <t>по Базарная, д.20</t>
  </si>
  <si>
    <t>Содержание и текущий ремонт жилищного фонда; вкл. доп.услуги на оплату зарплаты контролера по ОПУ :</t>
  </si>
  <si>
    <t>Зар/плата контролера по ОПУ</t>
  </si>
  <si>
    <t>по Базарная, д.21а</t>
  </si>
  <si>
    <t>по Базарная, д.21в</t>
  </si>
  <si>
    <t>по Базарная, д.23б</t>
  </si>
  <si>
    <t>Вывоз нечистот</t>
  </si>
  <si>
    <t>по Баумана, д.1 а</t>
  </si>
  <si>
    <t>по Баумана, д.1 б</t>
  </si>
  <si>
    <t>по Баумана, д.33</t>
  </si>
  <si>
    <t>по Баумана, д.35</t>
  </si>
  <si>
    <t>по Баумана, д.37</t>
  </si>
  <si>
    <t>по Баумана, д.39</t>
  </si>
  <si>
    <t>по Деповской, д.2</t>
  </si>
  <si>
    <t>по Дугинец, д.28</t>
  </si>
  <si>
    <t>по Железнодорожная, д.47/1</t>
  </si>
  <si>
    <t>по Железнодорожная, д.49</t>
  </si>
  <si>
    <t>по Железнодорожная, д.81</t>
  </si>
  <si>
    <t>по Железнодорожная, д.83</t>
  </si>
  <si>
    <t>по Железнодорожная, д.85</t>
  </si>
  <si>
    <t>по Железнодорожная, д.87</t>
  </si>
  <si>
    <t>по Зеленая,1/Целинная, д.2</t>
  </si>
  <si>
    <t>по Коммунальный, д.6</t>
  </si>
  <si>
    <t>по Кочубея, д.3</t>
  </si>
  <si>
    <t>по Кочубея, д.8</t>
  </si>
  <si>
    <t>по Красная, д.15</t>
  </si>
  <si>
    <t>по Красная, д.23</t>
  </si>
  <si>
    <t>по Красная, д.27</t>
  </si>
  <si>
    <t>по Красная, д.33</t>
  </si>
  <si>
    <t>по Красная, д.39</t>
  </si>
  <si>
    <t>Экономист ООО «Радиострой»                                                   В.В.Бычкова</t>
  </si>
  <si>
    <t>по Красная, д.45</t>
  </si>
  <si>
    <t>по Красная, д.52</t>
  </si>
  <si>
    <t>по Красная, д.54</t>
  </si>
  <si>
    <t>согласно калькуляции  с 1м² (тыс.руб.)/год</t>
  </si>
  <si>
    <t>Доп.услуги на ремонт дома (задолженность по капит.ремонту) :</t>
  </si>
  <si>
    <t>(13,5% от начисления согласно договора)</t>
  </si>
  <si>
    <t>по Красная, д.57</t>
  </si>
  <si>
    <t>по Красная, д.59</t>
  </si>
  <si>
    <t>Содержание и текущий ремонт жилищного фонда; вкл. доп.услуги на оплату зарплаты председателю домового комитета  :</t>
  </si>
  <si>
    <t>Зар/плата контролера председателя домового комитета</t>
  </si>
  <si>
    <t>по Красная, д.65</t>
  </si>
  <si>
    <t>по Красная, д.67</t>
  </si>
  <si>
    <t>по Красная, д.70</t>
  </si>
  <si>
    <t>по Красная, д.72</t>
  </si>
  <si>
    <t>по Красная, д.83</t>
  </si>
  <si>
    <t>по Красная, д.96</t>
  </si>
  <si>
    <t>по Красная, д.107</t>
  </si>
  <si>
    <t>по Красная, д.140</t>
  </si>
  <si>
    <t>по Красная, д.142</t>
  </si>
  <si>
    <t>по Красная, д.148</t>
  </si>
  <si>
    <t>по Красноармейская, д.97а</t>
  </si>
  <si>
    <t>по Красноармейская, д.307</t>
  </si>
  <si>
    <t>по Красноармейская, д.309</t>
  </si>
  <si>
    <t>по Красноармейская, д.404</t>
  </si>
  <si>
    <t>по Красноармейская, д.406</t>
  </si>
  <si>
    <t>по Красноармейская, д.410</t>
  </si>
  <si>
    <t>по Красноармейская, д.414</t>
  </si>
  <si>
    <t>по Красноармейская, д.416</t>
  </si>
  <si>
    <t>по Краснодарская, д.80</t>
  </si>
  <si>
    <t>по Краснодарская, д.80а</t>
  </si>
  <si>
    <t>по Краснодарская, д.89</t>
  </si>
  <si>
    <t>по Краснодарская, д.89а</t>
  </si>
  <si>
    <t>по Краснодарская, д.91</t>
  </si>
  <si>
    <t>по Краснодарская, д.93</t>
  </si>
  <si>
    <t>по Лермонтова, д.7</t>
  </si>
  <si>
    <t>по Лесной, д.15</t>
  </si>
  <si>
    <t>по Мира, д.90</t>
  </si>
  <si>
    <t>по Мира, д.90а</t>
  </si>
  <si>
    <t>по Мира, д.92</t>
  </si>
  <si>
    <t>по Мира, д.94</t>
  </si>
  <si>
    <t>по Мира , д.121а</t>
  </si>
  <si>
    <t>по Мопровский, д.9</t>
  </si>
  <si>
    <t>по Новая, д.45</t>
  </si>
  <si>
    <t>по Новая, д.47</t>
  </si>
  <si>
    <t>по Новая, д.49</t>
  </si>
  <si>
    <t>по Пушкина, д.45</t>
  </si>
  <si>
    <t>по Пушкина, д.148</t>
  </si>
  <si>
    <t>по Пушкина, д.148а</t>
  </si>
  <si>
    <t>по С.Лазо, д.18</t>
  </si>
  <si>
    <t>по С.Лазо, д.18а</t>
  </si>
  <si>
    <t>по С.Лазо, д.20</t>
  </si>
  <si>
    <t>по С.Лазо, д.22</t>
  </si>
  <si>
    <t>по С.Лазо, д.23б</t>
  </si>
  <si>
    <t>по С.Лазо, д.24</t>
  </si>
  <si>
    <t>по Советская, д.24</t>
  </si>
  <si>
    <t>по Советская, д.26</t>
  </si>
  <si>
    <t>по Б.Хмельницкого, д.18а</t>
  </si>
  <si>
    <t>по Б.Хмельницкого, д.63</t>
  </si>
  <si>
    <t>по Б.Хмельницкого, д.65</t>
  </si>
  <si>
    <t>по Б.Хмельницкого, д.71</t>
  </si>
  <si>
    <t>по Б.Хмельницкого, д.75</t>
  </si>
  <si>
    <t>по Б.Хмельницкого, д.77</t>
  </si>
  <si>
    <t>по Черноморская, д.77</t>
  </si>
  <si>
    <t>по Черноморская, д.81</t>
  </si>
  <si>
    <t>по Черноморская, д.98</t>
  </si>
  <si>
    <t>по Черноморская, д.100</t>
  </si>
  <si>
    <t>по Черноморская, д.102</t>
  </si>
  <si>
    <t>по Целинная, д.148</t>
  </si>
  <si>
    <t>по Пушкина, д.31</t>
  </si>
  <si>
    <t>по Пушкина, д.32</t>
  </si>
  <si>
    <t>по Красноармейская, д.97б</t>
  </si>
  <si>
    <t>по 60 Лет СССР, д.8</t>
  </si>
  <si>
    <t>по 60 Лет СССР, д.10</t>
  </si>
  <si>
    <t>по 60 Лет СССР, д.12</t>
  </si>
  <si>
    <t>по 60 Лет СССР, д.7б</t>
  </si>
  <si>
    <t>по Первомайский ДОС , д.1/2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</si>
</sst>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2">
    <font>
      <sz val="10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left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wrapText="1" shrinkToFit="1"/>
    </xf>
    <xf numFmtId="165" fontId="5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shrinkToFit="1"/>
    </xf>
    <xf numFmtId="165" fontId="8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left" wrapText="1"/>
    </xf>
    <xf numFmtId="164" fontId="8" fillId="0" borderId="1" xfId="0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/>
    </xf>
    <xf numFmtId="164" fontId="10" fillId="0" borderId="0" xfId="0" applyFont="1" applyAlignment="1">
      <alignment horizontal="center" wrapText="1"/>
    </xf>
    <xf numFmtId="166" fontId="11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3239"/>
  <sheetViews>
    <sheetView tabSelected="1" workbookViewId="0" topLeftCell="A3240">
      <selection activeCell="F1010" sqref="F1010"/>
    </sheetView>
  </sheetViews>
  <sheetFormatPr defaultColWidth="12.57421875" defaultRowHeight="12.75"/>
  <cols>
    <col min="1" max="1" width="5.421875" style="0" customWidth="1"/>
    <col min="2" max="2" width="5.57421875" style="0" customWidth="1"/>
    <col min="3" max="3" width="38.7109375" style="0" customWidth="1"/>
    <col min="4" max="4" width="13.7109375" style="0" customWidth="1"/>
    <col min="5" max="5" width="10.7109375" style="0" customWidth="1"/>
    <col min="6" max="6" width="10.140625" style="0" customWidth="1"/>
    <col min="7" max="16384" width="11.57421875" style="0" customWidth="1"/>
  </cols>
  <sheetData>
    <row r="4" spans="2:4" ht="12.75">
      <c r="B4" s="1" t="s">
        <v>0</v>
      </c>
      <c r="C4" s="1"/>
      <c r="D4" s="1"/>
    </row>
    <row r="5" spans="2:4" ht="12.75">
      <c r="B5" s="1" t="s">
        <v>1</v>
      </c>
      <c r="C5" s="1"/>
      <c r="D5" s="1"/>
    </row>
    <row r="6" spans="2:4" ht="12.75">
      <c r="B6" s="1" t="s">
        <v>2</v>
      </c>
      <c r="C6" s="1"/>
      <c r="D6" s="1"/>
    </row>
    <row r="7" spans="2:4" ht="12.75">
      <c r="B7" s="2"/>
      <c r="C7" s="2" t="s">
        <v>3</v>
      </c>
      <c r="D7" s="3" t="s">
        <v>4</v>
      </c>
    </row>
    <row r="8" spans="2:4" ht="15" customHeight="1">
      <c r="B8" s="2">
        <v>1</v>
      </c>
      <c r="C8" s="4" t="s">
        <v>5</v>
      </c>
      <c r="D8" s="2">
        <v>1426.6</v>
      </c>
    </row>
    <row r="9" spans="2:4" ht="24" customHeight="1">
      <c r="B9" s="2">
        <v>3</v>
      </c>
      <c r="C9" s="5" t="s">
        <v>6</v>
      </c>
      <c r="D9" s="2"/>
    </row>
    <row r="10" spans="2:4" ht="12.75">
      <c r="B10" s="2"/>
      <c r="C10" s="2" t="s">
        <v>7</v>
      </c>
      <c r="D10" s="6">
        <v>268886.24</v>
      </c>
    </row>
    <row r="11" spans="2:4" ht="12.75">
      <c r="B11" s="2"/>
      <c r="C11" s="2" t="s">
        <v>8</v>
      </c>
      <c r="D11" s="6">
        <v>135006.19</v>
      </c>
    </row>
    <row r="12" spans="2:4" ht="12.75">
      <c r="B12" s="2"/>
      <c r="C12" s="2" t="s">
        <v>9</v>
      </c>
      <c r="D12" s="6">
        <f>D11-D10</f>
        <v>-133880.05</v>
      </c>
    </row>
    <row r="13" spans="2:4" ht="12.75">
      <c r="B13" s="2">
        <v>4</v>
      </c>
      <c r="C13" s="7" t="s">
        <v>10</v>
      </c>
      <c r="D13" s="3" t="s">
        <v>11</v>
      </c>
    </row>
    <row r="14" spans="2:4" ht="12.75">
      <c r="B14" s="2"/>
      <c r="C14" s="8" t="s">
        <v>12</v>
      </c>
      <c r="D14" s="9">
        <f>5.6+1.3+3+0.3+0.6</f>
        <v>10.799999999999999</v>
      </c>
    </row>
    <row r="15" spans="2:4" ht="33.75" customHeight="1">
      <c r="B15" s="2"/>
      <c r="C15" s="10" t="s">
        <v>13</v>
      </c>
      <c r="D15" s="11">
        <v>24.6</v>
      </c>
    </row>
    <row r="16" spans="2:4" ht="14.25" customHeight="1">
      <c r="B16" s="2"/>
      <c r="C16" s="12" t="s">
        <v>14</v>
      </c>
      <c r="D16" s="9">
        <v>36.3</v>
      </c>
    </row>
    <row r="17" spans="2:4" ht="12.75">
      <c r="B17" s="2"/>
      <c r="C17" s="12" t="s">
        <v>15</v>
      </c>
      <c r="D17" s="13">
        <f>55.7+1.4+0.4+0.6+4.6</f>
        <v>62.7</v>
      </c>
    </row>
    <row r="18" spans="2:4" ht="25.5" customHeight="1">
      <c r="B18" s="2"/>
      <c r="C18" s="12" t="s">
        <v>16</v>
      </c>
      <c r="D18" s="9">
        <f>9.3+4.7</f>
        <v>14</v>
      </c>
    </row>
    <row r="19" spans="2:4" ht="12.75" customHeight="1">
      <c r="B19" s="2"/>
      <c r="C19" s="14" t="s">
        <v>17</v>
      </c>
      <c r="D19" s="9">
        <v>0.2</v>
      </c>
    </row>
    <row r="20" spans="2:4" ht="12.75">
      <c r="B20" s="2"/>
      <c r="C20" s="12" t="s">
        <v>18</v>
      </c>
      <c r="D20" s="9">
        <v>19.3</v>
      </c>
    </row>
    <row r="21" spans="2:4" ht="15" customHeight="1">
      <c r="B21" s="2"/>
      <c r="C21" s="10" t="s">
        <v>19</v>
      </c>
      <c r="D21" s="15">
        <v>4</v>
      </c>
    </row>
    <row r="22" spans="2:4" ht="23.25" customHeight="1">
      <c r="B22" s="2"/>
      <c r="C22" s="16" t="s">
        <v>20</v>
      </c>
      <c r="D22" s="15">
        <v>0</v>
      </c>
    </row>
    <row r="23" spans="2:4" ht="12.75">
      <c r="B23" s="2"/>
      <c r="C23" s="7" t="s">
        <v>21</v>
      </c>
      <c r="D23" s="17">
        <f>SUM(D14:D21)</f>
        <v>171.9</v>
      </c>
    </row>
    <row r="24" spans="2:4" ht="12.75">
      <c r="B24" s="2">
        <v>5</v>
      </c>
      <c r="C24" s="7" t="s">
        <v>9</v>
      </c>
      <c r="D24" s="17">
        <f>D23-D11/1000</f>
        <v>36.89381</v>
      </c>
    </row>
    <row r="25" spans="2:4" ht="12.75">
      <c r="B25" s="18"/>
      <c r="C25" s="18"/>
      <c r="D25" s="18"/>
    </row>
    <row r="26" spans="2:4" ht="12.75">
      <c r="B26" s="19" t="s">
        <v>22</v>
      </c>
      <c r="C26" s="19"/>
      <c r="D26" s="19"/>
    </row>
    <row r="29" spans="2:5" ht="12.75">
      <c r="B29" s="1" t="s">
        <v>0</v>
      </c>
      <c r="C29" s="1"/>
      <c r="D29" s="1"/>
      <c r="E29" s="1"/>
    </row>
    <row r="30" spans="2:5" ht="12.75">
      <c r="B30" s="1" t="s">
        <v>1</v>
      </c>
      <c r="C30" s="1"/>
      <c r="D30" s="1"/>
      <c r="E30" s="1"/>
    </row>
    <row r="31" spans="2:5" ht="12.75">
      <c r="B31" s="1" t="s">
        <v>2</v>
      </c>
      <c r="C31" s="1"/>
      <c r="D31" s="1"/>
      <c r="E31" s="1"/>
    </row>
    <row r="32" spans="2:5" ht="12.75">
      <c r="B32" s="1" t="s">
        <v>23</v>
      </c>
      <c r="C32" s="1"/>
      <c r="D32" s="1"/>
      <c r="E32" s="1"/>
    </row>
    <row r="33" spans="2:5" ht="12.75">
      <c r="B33" s="2"/>
      <c r="C33" s="2" t="s">
        <v>3</v>
      </c>
      <c r="D33" s="20" t="s">
        <v>24</v>
      </c>
      <c r="E33" s="1" t="s">
        <v>25</v>
      </c>
    </row>
    <row r="34" spans="2:5" ht="12.75">
      <c r="B34" s="2">
        <v>1</v>
      </c>
      <c r="C34" s="4" t="s">
        <v>5</v>
      </c>
      <c r="D34" s="21">
        <v>1426.6</v>
      </c>
      <c r="E34" s="21"/>
    </row>
    <row r="35" spans="2:5" ht="12.75">
      <c r="B35" s="2"/>
      <c r="C35" s="5" t="s">
        <v>6</v>
      </c>
      <c r="D35" s="22"/>
      <c r="E35" s="2"/>
    </row>
    <row r="36" spans="2:5" ht="12.75">
      <c r="B36" s="2">
        <v>2</v>
      </c>
      <c r="C36" s="7" t="s">
        <v>10</v>
      </c>
      <c r="D36" s="22"/>
      <c r="E36" s="3"/>
    </row>
    <row r="37" spans="2:5" ht="12.75">
      <c r="B37" s="2"/>
      <c r="C37" s="10" t="s">
        <v>26</v>
      </c>
      <c r="D37" s="23">
        <f>2.44+0.72</f>
        <v>3.16</v>
      </c>
      <c r="E37" s="9">
        <f>31.3+9.2</f>
        <v>40.5</v>
      </c>
    </row>
    <row r="38" spans="2:5" ht="12.75">
      <c r="B38" s="2"/>
      <c r="C38" s="10" t="s">
        <v>13</v>
      </c>
      <c r="D38" s="23">
        <v>2.05</v>
      </c>
      <c r="E38" s="11">
        <v>26.3</v>
      </c>
    </row>
    <row r="39" spans="2:5" ht="12.75">
      <c r="B39" s="2"/>
      <c r="C39" s="12" t="s">
        <v>14</v>
      </c>
      <c r="D39" s="21">
        <v>2.04</v>
      </c>
      <c r="E39" s="9">
        <v>26.2</v>
      </c>
    </row>
    <row r="40" spans="2:5" ht="12.75">
      <c r="B40" s="2"/>
      <c r="C40" s="12" t="s">
        <v>15</v>
      </c>
      <c r="D40" s="23">
        <f>4.34</f>
        <v>4.34</v>
      </c>
      <c r="E40" s="13">
        <v>55.7</v>
      </c>
    </row>
    <row r="41" spans="2:5" ht="12.75">
      <c r="B41" s="2"/>
      <c r="C41" s="12" t="s">
        <v>16</v>
      </c>
      <c r="D41" s="23">
        <v>0.58</v>
      </c>
      <c r="E41" s="9">
        <v>7.5</v>
      </c>
    </row>
    <row r="42" spans="2:5" ht="12.75">
      <c r="B42" s="2"/>
      <c r="C42" s="14" t="s">
        <v>17</v>
      </c>
      <c r="D42" s="23">
        <v>0.27</v>
      </c>
      <c r="E42" s="9">
        <v>3.5</v>
      </c>
    </row>
    <row r="43" spans="2:5" ht="12.75">
      <c r="B43" s="2"/>
      <c r="C43" s="12" t="s">
        <v>18</v>
      </c>
      <c r="D43" s="23">
        <v>1.5</v>
      </c>
      <c r="E43" s="9">
        <v>19.3</v>
      </c>
    </row>
    <row r="44" spans="2:5" ht="12.75">
      <c r="B44" s="2"/>
      <c r="C44" s="10" t="s">
        <v>27</v>
      </c>
      <c r="D44" s="23">
        <v>0.56</v>
      </c>
      <c r="E44" s="15">
        <v>7.2</v>
      </c>
    </row>
    <row r="45" spans="2:5" ht="12.75">
      <c r="B45" s="2"/>
      <c r="C45" s="16" t="s">
        <v>20</v>
      </c>
      <c r="D45" s="23">
        <v>4.55</v>
      </c>
      <c r="E45" s="15">
        <v>58.4</v>
      </c>
    </row>
    <row r="46" spans="2:5" ht="12.75">
      <c r="B46" s="2"/>
      <c r="C46" s="7" t="s">
        <v>21</v>
      </c>
      <c r="D46" s="17">
        <f>SUM(D37:D45)</f>
        <v>19.05</v>
      </c>
      <c r="E46" s="17">
        <f>SUM(E37:E45)</f>
        <v>244.6</v>
      </c>
    </row>
    <row r="47" spans="2:5" ht="12.75">
      <c r="B47" s="2"/>
      <c r="C47" s="8" t="s">
        <v>28</v>
      </c>
      <c r="D47" s="23">
        <v>1.9</v>
      </c>
      <c r="E47" s="6">
        <v>24.4</v>
      </c>
    </row>
    <row r="48" spans="2:5" ht="12.75">
      <c r="B48" s="2"/>
      <c r="C48" s="7" t="s">
        <v>29</v>
      </c>
      <c r="D48" s="17">
        <f>D46+D47</f>
        <v>20.95</v>
      </c>
      <c r="E48" s="17">
        <f>E46+E47</f>
        <v>269</v>
      </c>
    </row>
    <row r="49" spans="2:4" ht="12.75">
      <c r="B49" s="18"/>
      <c r="C49" s="18"/>
      <c r="D49" s="18"/>
    </row>
    <row r="50" spans="2:5" ht="12.75">
      <c r="B50" s="19" t="s">
        <v>22</v>
      </c>
      <c r="C50" s="19"/>
      <c r="D50" s="19"/>
      <c r="E50" s="19"/>
    </row>
    <row r="52" spans="2:6" ht="12.75">
      <c r="B52" s="24" t="s">
        <v>0</v>
      </c>
      <c r="C52" s="24"/>
      <c r="D52" s="24"/>
      <c r="E52" s="25"/>
      <c r="F52" s="26"/>
    </row>
    <row r="53" spans="2:6" ht="12.75">
      <c r="B53" s="24" t="s">
        <v>30</v>
      </c>
      <c r="C53" s="24"/>
      <c r="D53" s="24"/>
      <c r="E53" s="27"/>
      <c r="F53" s="26"/>
    </row>
    <row r="54" spans="2:6" ht="12.75">
      <c r="B54" s="24" t="s">
        <v>31</v>
      </c>
      <c r="C54" s="24"/>
      <c r="D54" s="24"/>
      <c r="E54" s="25"/>
      <c r="F54" s="28"/>
    </row>
    <row r="55" spans="2:5" ht="12.75">
      <c r="B55" s="29"/>
      <c r="C55" s="29" t="s">
        <v>3</v>
      </c>
      <c r="D55" s="30" t="s">
        <v>4</v>
      </c>
      <c r="E55" s="31"/>
    </row>
    <row r="56" spans="2:5" ht="12.75">
      <c r="B56" s="30">
        <v>1</v>
      </c>
      <c r="C56" s="32" t="s">
        <v>5</v>
      </c>
      <c r="D56" s="29">
        <v>4032.85</v>
      </c>
      <c r="E56" s="33"/>
    </row>
    <row r="57" spans="2:5" ht="12.75">
      <c r="B57" s="30">
        <v>2</v>
      </c>
      <c r="C57" s="30" t="s">
        <v>32</v>
      </c>
      <c r="D57" s="29"/>
      <c r="E57" s="34"/>
    </row>
    <row r="58" spans="2:5" ht="12.75">
      <c r="B58" s="29"/>
      <c r="C58" s="29" t="s">
        <v>7</v>
      </c>
      <c r="D58" s="29"/>
      <c r="E58" s="35"/>
    </row>
    <row r="59" spans="2:5" ht="12.75">
      <c r="B59" s="29"/>
      <c r="C59" s="29" t="s">
        <v>33</v>
      </c>
      <c r="D59" s="36">
        <v>5656.65</v>
      </c>
      <c r="E59" s="35"/>
    </row>
    <row r="60" spans="2:5" ht="12.75">
      <c r="B60" s="29"/>
      <c r="C60" s="29" t="s">
        <v>9</v>
      </c>
      <c r="D60" s="29">
        <f>D59-D58</f>
        <v>5656.65</v>
      </c>
      <c r="E60" s="34"/>
    </row>
    <row r="61" spans="2:5" ht="12.75">
      <c r="B61" s="30">
        <v>3</v>
      </c>
      <c r="C61" s="37" t="s">
        <v>6</v>
      </c>
      <c r="D61" s="29"/>
      <c r="E61" s="35"/>
    </row>
    <row r="62" spans="2:5" ht="12.75">
      <c r="B62" s="30"/>
      <c r="C62" s="29" t="s">
        <v>7</v>
      </c>
      <c r="D62" s="38">
        <v>733386.57</v>
      </c>
      <c r="E62" s="35"/>
    </row>
    <row r="63" spans="2:5" ht="12.75">
      <c r="B63" s="30"/>
      <c r="C63" s="29" t="s">
        <v>8</v>
      </c>
      <c r="D63" s="38">
        <v>748115.43</v>
      </c>
      <c r="E63" s="39"/>
    </row>
    <row r="64" spans="2:5" ht="12.75">
      <c r="B64" s="30"/>
      <c r="C64" s="29" t="s">
        <v>9</v>
      </c>
      <c r="D64" s="38">
        <f>D63-D62</f>
        <v>14728.860000000102</v>
      </c>
      <c r="E64" s="34"/>
    </row>
    <row r="65" spans="2:5" ht="12.75">
      <c r="B65" s="30">
        <v>4</v>
      </c>
      <c r="C65" s="40" t="s">
        <v>10</v>
      </c>
      <c r="D65" s="30" t="s">
        <v>11</v>
      </c>
      <c r="E65" s="34"/>
    </row>
    <row r="66" spans="2:5" ht="12.75">
      <c r="B66" s="41" t="s">
        <v>14</v>
      </c>
      <c r="C66" s="41"/>
      <c r="D66" s="36">
        <v>99</v>
      </c>
      <c r="E66" s="42"/>
    </row>
    <row r="67" spans="2:5" ht="12.75" customHeight="1">
      <c r="B67" s="43" t="s">
        <v>34</v>
      </c>
      <c r="C67" s="43"/>
      <c r="D67" s="30">
        <f>D68+D69+D70</f>
        <v>374.19999999999993</v>
      </c>
      <c r="E67" s="34"/>
    </row>
    <row r="68" spans="2:5" ht="12.75">
      <c r="B68" s="29"/>
      <c r="C68" s="44" t="s">
        <v>35</v>
      </c>
      <c r="D68" s="38">
        <v>156.1</v>
      </c>
      <c r="E68" s="34"/>
    </row>
    <row r="69" spans="2:5" ht="12.75">
      <c r="B69" s="29"/>
      <c r="C69" s="44" t="s">
        <v>36</v>
      </c>
      <c r="D69" s="45">
        <v>197.7</v>
      </c>
      <c r="E69" s="34"/>
    </row>
    <row r="70" spans="2:5" ht="12.75">
      <c r="B70" s="41" t="s">
        <v>37</v>
      </c>
      <c r="C70" s="41"/>
      <c r="D70" s="45">
        <v>20.4</v>
      </c>
      <c r="E70" s="34"/>
    </row>
    <row r="71" spans="2:5" ht="12.75" customHeight="1">
      <c r="B71" s="46" t="s">
        <v>38</v>
      </c>
      <c r="C71" s="46"/>
      <c r="D71" s="47">
        <f>D72+D74+D75+D73</f>
        <v>257.34000000000003</v>
      </c>
      <c r="E71" s="34"/>
    </row>
    <row r="72" spans="2:5" ht="12.75">
      <c r="B72" s="29"/>
      <c r="C72" s="44" t="s">
        <v>15</v>
      </c>
      <c r="D72" s="29">
        <f>152+30.7+13.33+19.9+1.03+0.43+3.32+3.96</f>
        <v>224.67000000000002</v>
      </c>
      <c r="E72" s="34"/>
    </row>
    <row r="73" spans="2:5" ht="12.75">
      <c r="B73" s="29"/>
      <c r="C73" s="44" t="s">
        <v>39</v>
      </c>
      <c r="D73" s="38">
        <v>6.23</v>
      </c>
      <c r="E73" s="34"/>
    </row>
    <row r="74" spans="2:5" ht="12.75">
      <c r="B74" s="29"/>
      <c r="C74" s="48" t="s">
        <v>40</v>
      </c>
      <c r="D74" s="38">
        <v>0</v>
      </c>
      <c r="E74" s="49"/>
    </row>
    <row r="75" spans="2:5" ht="12.75">
      <c r="B75" s="29"/>
      <c r="C75" s="44" t="s">
        <v>41</v>
      </c>
      <c r="D75" s="29">
        <f>1.7+24.74</f>
        <v>26.439999999999998</v>
      </c>
      <c r="E75" s="49"/>
    </row>
    <row r="76" spans="2:4" ht="12.75">
      <c r="B76" s="41" t="s">
        <v>19</v>
      </c>
      <c r="C76" s="41"/>
      <c r="D76" s="30">
        <v>22.44</v>
      </c>
    </row>
    <row r="77" spans="2:4" ht="12.75">
      <c r="B77" s="50" t="s">
        <v>42</v>
      </c>
      <c r="C77" s="50"/>
      <c r="D77" s="30">
        <f>61.7+24.26</f>
        <v>85.96000000000001</v>
      </c>
    </row>
    <row r="78" spans="2:4" ht="12.75">
      <c r="B78" s="29"/>
      <c r="C78" s="40" t="s">
        <v>21</v>
      </c>
      <c r="D78" s="47">
        <f>D66+D67+D71+D76+D77</f>
        <v>838.94</v>
      </c>
    </row>
    <row r="79" spans="2:4" ht="12.75">
      <c r="B79" s="30">
        <v>5</v>
      </c>
      <c r="C79" s="40" t="s">
        <v>9</v>
      </c>
      <c r="D79" s="47">
        <f>D78-D63/1000</f>
        <v>90.82457</v>
      </c>
    </row>
    <row r="80" spans="2:4" ht="12.75">
      <c r="B80" s="51"/>
      <c r="C80" s="51"/>
      <c r="D80" s="51"/>
    </row>
    <row r="81" spans="2:4" ht="12.75">
      <c r="B81" s="52" t="s">
        <v>43</v>
      </c>
      <c r="C81" s="52"/>
      <c r="D81" s="52"/>
    </row>
    <row r="84" spans="2:4" ht="12.75">
      <c r="B84" s="53" t="s">
        <v>0</v>
      </c>
      <c r="C84" s="53"/>
      <c r="D84" s="53"/>
    </row>
    <row r="85" spans="2:4" ht="12.75">
      <c r="B85" s="53" t="s">
        <v>30</v>
      </c>
      <c r="C85" s="53"/>
      <c r="D85" s="53"/>
    </row>
    <row r="86" spans="2:4" ht="12.75">
      <c r="B86" s="53" t="s">
        <v>44</v>
      </c>
      <c r="C86" s="53"/>
      <c r="D86" s="53"/>
    </row>
    <row r="87" spans="2:4" ht="12.75">
      <c r="B87" s="54"/>
      <c r="C87" s="54" t="s">
        <v>3</v>
      </c>
      <c r="D87" s="55" t="s">
        <v>4</v>
      </c>
    </row>
    <row r="88" spans="2:4" ht="12.75">
      <c r="B88" s="55">
        <v>1</v>
      </c>
      <c r="C88" s="56" t="s">
        <v>5</v>
      </c>
      <c r="D88" s="54">
        <v>3535</v>
      </c>
    </row>
    <row r="89" spans="2:4" ht="12.75">
      <c r="B89" s="55">
        <v>2</v>
      </c>
      <c r="C89" s="55" t="s">
        <v>32</v>
      </c>
      <c r="D89" s="54"/>
    </row>
    <row r="90" spans="2:4" ht="12.75">
      <c r="B90" s="54"/>
      <c r="C90" s="54" t="s">
        <v>7</v>
      </c>
      <c r="D90" s="54">
        <v>547.52</v>
      </c>
    </row>
    <row r="91" spans="2:4" ht="12.75">
      <c r="B91" s="54"/>
      <c r="C91" s="54" t="s">
        <v>33</v>
      </c>
      <c r="D91" s="57">
        <v>615.97</v>
      </c>
    </row>
    <row r="92" spans="2:4" ht="12.75">
      <c r="B92" s="54"/>
      <c r="C92" s="54" t="s">
        <v>9</v>
      </c>
      <c r="D92" s="54">
        <f>D91-D90</f>
        <v>68.45000000000005</v>
      </c>
    </row>
    <row r="93" spans="2:4" ht="12.75">
      <c r="B93" s="55">
        <v>3</v>
      </c>
      <c r="C93" s="58" t="s">
        <v>45</v>
      </c>
      <c r="D93" s="54"/>
    </row>
    <row r="94" spans="2:4" ht="12.75">
      <c r="B94" s="55"/>
      <c r="C94" s="54" t="s">
        <v>7</v>
      </c>
      <c r="D94" s="59">
        <v>674631.01</v>
      </c>
    </row>
    <row r="95" spans="2:4" ht="12.75">
      <c r="B95" s="55"/>
      <c r="C95" s="54" t="s">
        <v>8</v>
      </c>
      <c r="D95" s="59">
        <v>677548.36</v>
      </c>
    </row>
    <row r="96" spans="2:4" ht="12.75">
      <c r="B96" s="55"/>
      <c r="C96" s="54" t="s">
        <v>9</v>
      </c>
      <c r="D96" s="59">
        <f>D95-D94</f>
        <v>2917.3499999999767</v>
      </c>
    </row>
    <row r="97" spans="2:4" ht="12.75">
      <c r="B97" s="55">
        <v>4</v>
      </c>
      <c r="C97" s="60" t="s">
        <v>10</v>
      </c>
      <c r="D97" s="55" t="s">
        <v>11</v>
      </c>
    </row>
    <row r="98" spans="2:4" ht="12.75">
      <c r="B98" s="61" t="s">
        <v>14</v>
      </c>
      <c r="C98" s="61"/>
      <c r="D98" s="57">
        <v>91.08</v>
      </c>
    </row>
    <row r="99" spans="2:4" ht="12.75" customHeight="1">
      <c r="B99" s="62" t="s">
        <v>34</v>
      </c>
      <c r="C99" s="62"/>
      <c r="D99" s="55">
        <f>D100+D101+D102</f>
        <v>302.07000000000005</v>
      </c>
    </row>
    <row r="100" spans="2:4" ht="12.75">
      <c r="B100" s="54"/>
      <c r="C100" s="63" t="s">
        <v>35</v>
      </c>
      <c r="D100" s="59">
        <v>136.83</v>
      </c>
    </row>
    <row r="101" spans="2:4" ht="12.75">
      <c r="B101" s="54"/>
      <c r="C101" s="63" t="s">
        <v>36</v>
      </c>
      <c r="D101" s="64">
        <v>140.64</v>
      </c>
    </row>
    <row r="102" spans="2:4" ht="12.75">
      <c r="B102" s="61" t="s">
        <v>37</v>
      </c>
      <c r="C102" s="61"/>
      <c r="D102" s="64">
        <v>24.6</v>
      </c>
    </row>
    <row r="103" spans="2:4" ht="12.75" customHeight="1">
      <c r="B103" s="65" t="s">
        <v>38</v>
      </c>
      <c r="C103" s="65"/>
      <c r="D103" s="66">
        <f>D104+D106+D107+D105</f>
        <v>212.59</v>
      </c>
    </row>
    <row r="104" spans="2:4" ht="12.75">
      <c r="B104" s="54"/>
      <c r="C104" s="63" t="s">
        <v>15</v>
      </c>
      <c r="D104" s="54">
        <f>126.05+25.46+11.07+16.32+0.4+3.47+0.9+2.5+4.36</f>
        <v>190.53</v>
      </c>
    </row>
    <row r="105" spans="2:4" ht="12.75">
      <c r="B105" s="54"/>
      <c r="C105" s="63" t="s">
        <v>39</v>
      </c>
      <c r="D105" s="59">
        <v>15.16</v>
      </c>
    </row>
    <row r="106" spans="2:4" ht="12.75">
      <c r="B106" s="54"/>
      <c r="C106" s="67" t="s">
        <v>40</v>
      </c>
      <c r="D106" s="59">
        <v>0</v>
      </c>
    </row>
    <row r="107" spans="2:4" ht="12.75">
      <c r="B107" s="54"/>
      <c r="C107" s="63" t="s">
        <v>41</v>
      </c>
      <c r="D107" s="54">
        <f>0.32+1.5+5.08</f>
        <v>6.9</v>
      </c>
    </row>
    <row r="108" spans="2:4" ht="12.75">
      <c r="B108" s="61" t="s">
        <v>19</v>
      </c>
      <c r="C108" s="61"/>
      <c r="D108" s="55">
        <v>20.33</v>
      </c>
    </row>
    <row r="109" spans="2:4" ht="12.75">
      <c r="B109" s="68" t="s">
        <v>42</v>
      </c>
      <c r="C109" s="68"/>
      <c r="D109" s="55">
        <f>0.9+20.38+54.09</f>
        <v>75.37</v>
      </c>
    </row>
    <row r="110" spans="2:4" ht="12.75">
      <c r="B110" s="68" t="s">
        <v>46</v>
      </c>
      <c r="C110" s="68"/>
      <c r="D110" s="55">
        <v>24.83</v>
      </c>
    </row>
    <row r="111" spans="2:4" ht="12.75">
      <c r="B111" s="54"/>
      <c r="C111" s="40" t="s">
        <v>21</v>
      </c>
      <c r="D111" s="66">
        <f>D98+D99+D103+D108+D109+D110</f>
        <v>726.2700000000001</v>
      </c>
    </row>
    <row r="112" spans="2:4" ht="12.75">
      <c r="B112" s="55">
        <v>5</v>
      </c>
      <c r="C112" s="60" t="s">
        <v>9</v>
      </c>
      <c r="D112" s="66">
        <f>D111-D95/1000</f>
        <v>48.72164000000009</v>
      </c>
    </row>
    <row r="113" spans="2:4" ht="12.75">
      <c r="B113" s="69"/>
      <c r="C113" s="69"/>
      <c r="D113" s="69"/>
    </row>
    <row r="114" spans="2:4" ht="12.75">
      <c r="B114" s="70" t="s">
        <v>47</v>
      </c>
      <c r="C114" s="70"/>
      <c r="D114" s="70"/>
    </row>
    <row r="116" spans="2:4" ht="12.75">
      <c r="B116" s="53" t="s">
        <v>0</v>
      </c>
      <c r="C116" s="53"/>
      <c r="D116" s="53"/>
    </row>
    <row r="117" spans="2:4" ht="12.75">
      <c r="B117" s="53" t="s">
        <v>30</v>
      </c>
      <c r="C117" s="53"/>
      <c r="D117" s="53"/>
    </row>
    <row r="118" spans="2:4" ht="12.75">
      <c r="B118" s="53" t="s">
        <v>48</v>
      </c>
      <c r="C118" s="53"/>
      <c r="D118" s="53"/>
    </row>
    <row r="119" spans="2:4" ht="12.75">
      <c r="B119" s="54"/>
      <c r="C119" s="54" t="s">
        <v>3</v>
      </c>
      <c r="D119" s="55" t="s">
        <v>4</v>
      </c>
    </row>
    <row r="120" spans="2:4" ht="12.75">
      <c r="B120" s="55">
        <v>1</v>
      </c>
      <c r="C120" s="56" t="s">
        <v>5</v>
      </c>
      <c r="D120" s="54">
        <v>365.42</v>
      </c>
    </row>
    <row r="121" spans="2:4" ht="12.75">
      <c r="B121" s="55">
        <v>2</v>
      </c>
      <c r="C121" s="55" t="s">
        <v>32</v>
      </c>
      <c r="D121" s="54"/>
    </row>
    <row r="122" spans="2:4" ht="12.75">
      <c r="B122" s="54"/>
      <c r="C122" s="54" t="s">
        <v>7</v>
      </c>
      <c r="D122" s="54"/>
    </row>
    <row r="123" spans="2:4" ht="12.75">
      <c r="B123" s="54"/>
      <c r="C123" s="54" t="s">
        <v>33</v>
      </c>
      <c r="D123" s="57">
        <v>267.1</v>
      </c>
    </row>
    <row r="124" spans="2:4" ht="12.75">
      <c r="B124" s="54"/>
      <c r="C124" s="54" t="s">
        <v>9</v>
      </c>
      <c r="D124" s="54">
        <f>D123-D122</f>
        <v>267.1</v>
      </c>
    </row>
    <row r="125" spans="2:4" ht="12.75">
      <c r="B125" s="55">
        <v>3</v>
      </c>
      <c r="C125" s="58" t="s">
        <v>6</v>
      </c>
      <c r="D125" s="54"/>
    </row>
    <row r="126" spans="2:4" ht="12.75">
      <c r="B126" s="55"/>
      <c r="C126" s="54" t="s">
        <v>7</v>
      </c>
      <c r="D126" s="59">
        <v>67310.27</v>
      </c>
    </row>
    <row r="127" spans="2:4" ht="12.75">
      <c r="B127" s="55"/>
      <c r="C127" s="54" t="s">
        <v>8</v>
      </c>
      <c r="D127" s="59">
        <v>69186.31</v>
      </c>
    </row>
    <row r="128" spans="2:4" ht="12.75">
      <c r="B128" s="55"/>
      <c r="C128" s="54" t="s">
        <v>9</v>
      </c>
      <c r="D128" s="59">
        <f>D127-D126</f>
        <v>1876.0399999999936</v>
      </c>
    </row>
    <row r="129" spans="2:4" ht="12.75">
      <c r="B129" s="55">
        <v>4</v>
      </c>
      <c r="C129" s="60" t="s">
        <v>10</v>
      </c>
      <c r="D129" s="55" t="s">
        <v>11</v>
      </c>
    </row>
    <row r="130" spans="2:4" ht="12.75">
      <c r="B130" s="61" t="s">
        <v>14</v>
      </c>
      <c r="C130" s="61"/>
      <c r="D130" s="57">
        <v>9.09</v>
      </c>
    </row>
    <row r="131" spans="2:4" ht="12.75" customHeight="1">
      <c r="B131" s="62" t="s">
        <v>34</v>
      </c>
      <c r="C131" s="62"/>
      <c r="D131" s="55">
        <f>D132+D133+D134</f>
        <v>18.36</v>
      </c>
    </row>
    <row r="132" spans="2:4" ht="12.75">
      <c r="B132" s="54"/>
      <c r="C132" s="63" t="s">
        <v>35</v>
      </c>
      <c r="D132" s="59">
        <f>14.14</f>
        <v>14.14</v>
      </c>
    </row>
    <row r="133" spans="2:4" ht="12.75">
      <c r="B133" s="54"/>
      <c r="C133" s="63" t="s">
        <v>36</v>
      </c>
      <c r="D133" s="64">
        <v>4.22</v>
      </c>
    </row>
    <row r="134" spans="2:4" ht="12.75">
      <c r="B134" s="61" t="s">
        <v>37</v>
      </c>
      <c r="C134" s="61"/>
      <c r="D134" s="71">
        <v>0</v>
      </c>
    </row>
    <row r="135" spans="2:4" ht="12.75" customHeight="1">
      <c r="B135" s="65" t="s">
        <v>38</v>
      </c>
      <c r="C135" s="65"/>
      <c r="D135" s="66">
        <f>D136+D138+D139+D137</f>
        <v>22.68</v>
      </c>
    </row>
    <row r="136" spans="2:4" ht="12.75">
      <c r="B136" s="54"/>
      <c r="C136" s="63" t="s">
        <v>15</v>
      </c>
      <c r="D136" s="54">
        <f>13.2+2.67+1.16+1.71+0.36+0.09+0.43+0.3</f>
        <v>19.919999999999998</v>
      </c>
    </row>
    <row r="137" spans="2:4" ht="12.75">
      <c r="B137" s="54"/>
      <c r="C137" s="63" t="s">
        <v>39</v>
      </c>
      <c r="D137" s="59">
        <v>2.5300000000000002</v>
      </c>
    </row>
    <row r="138" spans="2:4" ht="12.75">
      <c r="B138" s="54"/>
      <c r="C138" s="67" t="s">
        <v>40</v>
      </c>
      <c r="D138" s="59">
        <v>0</v>
      </c>
    </row>
    <row r="139" spans="2:4" ht="12.75">
      <c r="B139" s="54"/>
      <c r="C139" s="63" t="s">
        <v>41</v>
      </c>
      <c r="D139" s="54">
        <f>0.03+0.2</f>
        <v>0.23</v>
      </c>
    </row>
    <row r="140" spans="2:4" ht="12.75">
      <c r="B140" s="61" t="s">
        <v>19</v>
      </c>
      <c r="C140" s="61"/>
      <c r="D140" s="55">
        <v>2.08</v>
      </c>
    </row>
    <row r="141" spans="2:4" ht="12.75">
      <c r="B141" s="68" t="s">
        <v>42</v>
      </c>
      <c r="C141" s="68"/>
      <c r="D141" s="55">
        <f>5.6+2.1+0.09</f>
        <v>7.789999999999999</v>
      </c>
    </row>
    <row r="142" spans="2:4" ht="12.75">
      <c r="B142" s="54"/>
      <c r="C142" s="40" t="s">
        <v>21</v>
      </c>
      <c r="D142" s="66">
        <f>D130+D131+D135+D140+D141</f>
        <v>59.99999999999999</v>
      </c>
    </row>
    <row r="143" spans="2:4" ht="12.75">
      <c r="B143" s="55">
        <v>5</v>
      </c>
      <c r="C143" s="60" t="s">
        <v>9</v>
      </c>
      <c r="D143" s="66">
        <f>D142-D127/1000</f>
        <v>-9.186309999999999</v>
      </c>
    </row>
    <row r="144" spans="2:4" ht="12.75">
      <c r="B144" s="69"/>
      <c r="C144" s="69"/>
      <c r="D144" s="69"/>
    </row>
    <row r="145" spans="2:4" ht="12.75">
      <c r="B145" s="70" t="s">
        <v>47</v>
      </c>
      <c r="C145" s="70"/>
      <c r="D145" s="70"/>
    </row>
    <row r="147" spans="2:4" ht="12.75">
      <c r="B147" s="53" t="s">
        <v>0</v>
      </c>
      <c r="C147" s="53"/>
      <c r="D147" s="53"/>
    </row>
    <row r="148" spans="2:4" ht="12.75">
      <c r="B148" s="53" t="s">
        <v>30</v>
      </c>
      <c r="C148" s="53"/>
      <c r="D148" s="53"/>
    </row>
    <row r="149" spans="2:4" ht="12.75">
      <c r="B149" s="53" t="s">
        <v>49</v>
      </c>
      <c r="C149" s="53"/>
      <c r="D149" s="53"/>
    </row>
    <row r="150" spans="2:4" ht="12.75">
      <c r="B150" s="54"/>
      <c r="C150" s="54" t="s">
        <v>3</v>
      </c>
      <c r="D150" s="55" t="s">
        <v>4</v>
      </c>
    </row>
    <row r="151" spans="2:4" ht="12.75">
      <c r="B151" s="55">
        <v>1</v>
      </c>
      <c r="C151" s="56" t="s">
        <v>5</v>
      </c>
      <c r="D151" s="54">
        <v>374.7</v>
      </c>
    </row>
    <row r="152" spans="2:4" ht="12.75">
      <c r="B152" s="55">
        <v>2</v>
      </c>
      <c r="C152" s="55" t="s">
        <v>32</v>
      </c>
      <c r="D152" s="54"/>
    </row>
    <row r="153" spans="2:4" ht="12.75">
      <c r="B153" s="54"/>
      <c r="C153" s="54" t="s">
        <v>7</v>
      </c>
      <c r="D153" s="54">
        <v>3839.5</v>
      </c>
    </row>
    <row r="154" spans="2:4" ht="12.75">
      <c r="B154" s="54"/>
      <c r="C154" s="54" t="s">
        <v>33</v>
      </c>
      <c r="D154" s="57">
        <v>5425.52</v>
      </c>
    </row>
    <row r="155" spans="2:4" ht="12.75">
      <c r="B155" s="54"/>
      <c r="C155" s="54" t="s">
        <v>9</v>
      </c>
      <c r="D155" s="54">
        <f>D154-D153</f>
        <v>1586.0200000000004</v>
      </c>
    </row>
    <row r="156" spans="2:4" ht="12.75">
      <c r="B156" s="55">
        <v>3</v>
      </c>
      <c r="C156" s="58" t="s">
        <v>6</v>
      </c>
      <c r="D156" s="54"/>
    </row>
    <row r="157" spans="2:4" ht="12.75">
      <c r="B157" s="55"/>
      <c r="C157" s="54" t="s">
        <v>7</v>
      </c>
      <c r="D157" s="59">
        <v>69075.91</v>
      </c>
    </row>
    <row r="158" spans="2:4" ht="12.75">
      <c r="B158" s="55"/>
      <c r="C158" s="54" t="s">
        <v>8</v>
      </c>
      <c r="D158" s="59">
        <v>63658.45</v>
      </c>
    </row>
    <row r="159" spans="2:4" ht="12.75">
      <c r="B159" s="55"/>
      <c r="C159" s="54" t="s">
        <v>9</v>
      </c>
      <c r="D159" s="59">
        <f>D158-D157</f>
        <v>-5417.460000000006</v>
      </c>
    </row>
    <row r="160" spans="2:4" ht="12.75">
      <c r="B160" s="55">
        <v>4</v>
      </c>
      <c r="C160" s="60" t="s">
        <v>10</v>
      </c>
      <c r="D160" s="55" t="s">
        <v>11</v>
      </c>
    </row>
    <row r="161" spans="2:4" ht="12.75">
      <c r="B161" s="61" t="s">
        <v>14</v>
      </c>
      <c r="C161" s="61"/>
      <c r="D161" s="57">
        <v>9.33</v>
      </c>
    </row>
    <row r="162" spans="2:4" ht="12.75" customHeight="1">
      <c r="B162" s="62" t="s">
        <v>34</v>
      </c>
      <c r="C162" s="62"/>
      <c r="D162" s="55">
        <f>D163+D164+D165</f>
        <v>33.5</v>
      </c>
    </row>
    <row r="163" spans="2:4" ht="12.75">
      <c r="B163" s="54"/>
      <c r="C163" s="63" t="s">
        <v>35</v>
      </c>
      <c r="D163" s="59">
        <v>14.5</v>
      </c>
    </row>
    <row r="164" spans="2:4" ht="12.75">
      <c r="B164" s="54"/>
      <c r="C164" s="63" t="s">
        <v>36</v>
      </c>
      <c r="D164" s="71">
        <v>19</v>
      </c>
    </row>
    <row r="165" spans="2:4" ht="12.75">
      <c r="B165" s="61" t="s">
        <v>37</v>
      </c>
      <c r="C165" s="61"/>
      <c r="D165" s="71">
        <v>0</v>
      </c>
    </row>
    <row r="166" spans="2:4" ht="12.75" customHeight="1">
      <c r="B166" s="65" t="s">
        <v>38</v>
      </c>
      <c r="C166" s="65"/>
      <c r="D166" s="66">
        <f>D167+D169+D170+D168</f>
        <v>41.339999999999996</v>
      </c>
    </row>
    <row r="167" spans="2:4" ht="12.75">
      <c r="B167" s="54"/>
      <c r="C167" s="63" t="s">
        <v>15</v>
      </c>
      <c r="D167" s="54">
        <f>26.86+5.43+2.36+3.48+0.37+0.09+0.31</f>
        <v>38.9</v>
      </c>
    </row>
    <row r="168" spans="2:4" ht="12.75">
      <c r="B168" s="54"/>
      <c r="C168" s="63" t="s">
        <v>39</v>
      </c>
      <c r="D168" s="59">
        <v>2.21</v>
      </c>
    </row>
    <row r="169" spans="2:4" ht="12.75">
      <c r="B169" s="54"/>
      <c r="C169" s="67" t="s">
        <v>40</v>
      </c>
      <c r="D169" s="59">
        <v>0</v>
      </c>
    </row>
    <row r="170" spans="2:4" ht="12.75">
      <c r="B170" s="54"/>
      <c r="C170" s="63" t="s">
        <v>41</v>
      </c>
      <c r="D170" s="54">
        <f>0.03+0.2</f>
        <v>0.23</v>
      </c>
    </row>
    <row r="171" spans="2:4" ht="12.75">
      <c r="B171" s="61" t="s">
        <v>19</v>
      </c>
      <c r="C171" s="61"/>
      <c r="D171" s="55">
        <v>1.91</v>
      </c>
    </row>
    <row r="172" spans="2:4" ht="12.75">
      <c r="B172" s="68" t="s">
        <v>42</v>
      </c>
      <c r="C172" s="68"/>
      <c r="D172" s="55">
        <f>5.73+2.1+0.09</f>
        <v>7.92</v>
      </c>
    </row>
    <row r="173" spans="2:4" ht="12.75">
      <c r="B173" s="54"/>
      <c r="C173" s="40" t="s">
        <v>21</v>
      </c>
      <c r="D173" s="66">
        <f>D161+D162+D166+D171+D172</f>
        <v>93.99999999999999</v>
      </c>
    </row>
    <row r="174" spans="2:4" ht="12.75">
      <c r="B174" s="55">
        <v>5</v>
      </c>
      <c r="C174" s="60" t="s">
        <v>9</v>
      </c>
      <c r="D174" s="66">
        <f>D173-D158/1000</f>
        <v>30.34154999999999</v>
      </c>
    </row>
    <row r="175" spans="2:4" ht="12.75">
      <c r="B175" s="69"/>
      <c r="C175" s="69"/>
      <c r="D175" s="69"/>
    </row>
    <row r="176" spans="2:4" ht="12.75">
      <c r="B176" s="70" t="s">
        <v>47</v>
      </c>
      <c r="C176" s="70"/>
      <c r="D176" s="70"/>
    </row>
    <row r="178" spans="2:4" ht="12.75">
      <c r="B178" s="53" t="s">
        <v>0</v>
      </c>
      <c r="C178" s="53"/>
      <c r="D178" s="53"/>
    </row>
    <row r="179" spans="2:4" ht="12.75">
      <c r="B179" s="53" t="s">
        <v>30</v>
      </c>
      <c r="C179" s="53"/>
      <c r="D179" s="53"/>
    </row>
    <row r="180" spans="2:4" ht="12.75">
      <c r="B180" s="53" t="s">
        <v>50</v>
      </c>
      <c r="C180" s="53"/>
      <c r="D180" s="53"/>
    </row>
    <row r="181" spans="2:4" ht="12.75">
      <c r="B181" s="54"/>
      <c r="C181" s="54" t="s">
        <v>3</v>
      </c>
      <c r="D181" s="55" t="s">
        <v>4</v>
      </c>
    </row>
    <row r="182" spans="2:4" ht="12.75">
      <c r="B182" s="55">
        <v>1</v>
      </c>
      <c r="C182" s="56" t="s">
        <v>5</v>
      </c>
      <c r="D182" s="54">
        <v>2823.5</v>
      </c>
    </row>
    <row r="183" spans="2:4" ht="12.75">
      <c r="B183" s="55">
        <v>2</v>
      </c>
      <c r="C183" s="55" t="s">
        <v>32</v>
      </c>
      <c r="D183" s="54"/>
    </row>
    <row r="184" spans="2:4" ht="12.75">
      <c r="B184" s="54"/>
      <c r="C184" s="54" t="s">
        <v>7</v>
      </c>
      <c r="D184" s="54"/>
    </row>
    <row r="185" spans="2:4" ht="12.75">
      <c r="B185" s="54"/>
      <c r="C185" s="54" t="s">
        <v>33</v>
      </c>
      <c r="D185" s="57">
        <v>1318.42</v>
      </c>
    </row>
    <row r="186" spans="2:4" ht="12.75">
      <c r="B186" s="54"/>
      <c r="C186" s="54" t="s">
        <v>9</v>
      </c>
      <c r="D186" s="54">
        <f>D185-D184</f>
        <v>1318.42</v>
      </c>
    </row>
    <row r="187" spans="2:4" ht="12.75">
      <c r="B187" s="55">
        <v>3</v>
      </c>
      <c r="C187" s="58" t="s">
        <v>6</v>
      </c>
      <c r="D187" s="54"/>
    </row>
    <row r="188" spans="2:4" ht="12.75">
      <c r="B188" s="55"/>
      <c r="C188" s="54" t="s">
        <v>7</v>
      </c>
      <c r="D188" s="59">
        <v>518503.45</v>
      </c>
    </row>
    <row r="189" spans="2:4" ht="12.75">
      <c r="B189" s="55"/>
      <c r="C189" s="54" t="s">
        <v>8</v>
      </c>
      <c r="D189" s="59">
        <v>529840.74</v>
      </c>
    </row>
    <row r="190" spans="2:4" ht="12.75">
      <c r="B190" s="55"/>
      <c r="C190" s="54" t="s">
        <v>9</v>
      </c>
      <c r="D190" s="59">
        <f>D189-D188</f>
        <v>11337.289999999979</v>
      </c>
    </row>
    <row r="191" spans="2:4" ht="12.75">
      <c r="B191" s="55">
        <v>4</v>
      </c>
      <c r="C191" s="60" t="s">
        <v>10</v>
      </c>
      <c r="D191" s="55" t="s">
        <v>11</v>
      </c>
    </row>
    <row r="192" spans="2:4" ht="12.75">
      <c r="B192" s="61" t="s">
        <v>14</v>
      </c>
      <c r="C192" s="61"/>
      <c r="D192" s="57">
        <v>70</v>
      </c>
    </row>
    <row r="193" spans="2:4" ht="12.75" customHeight="1">
      <c r="B193" s="62" t="s">
        <v>34</v>
      </c>
      <c r="C193" s="62"/>
      <c r="D193" s="55">
        <f>D194+D195+D196</f>
        <v>203.76</v>
      </c>
    </row>
    <row r="194" spans="2:4" ht="12.75">
      <c r="B194" s="54"/>
      <c r="C194" s="63" t="s">
        <v>35</v>
      </c>
      <c r="D194" s="59">
        <v>109.3</v>
      </c>
    </row>
    <row r="195" spans="2:4" ht="12.75">
      <c r="B195" s="54"/>
      <c r="C195" s="63" t="s">
        <v>36</v>
      </c>
      <c r="D195" s="64">
        <v>94.46</v>
      </c>
    </row>
    <row r="196" spans="2:4" ht="12.75">
      <c r="B196" s="61" t="s">
        <v>37</v>
      </c>
      <c r="C196" s="61"/>
      <c r="D196" s="72">
        <v>0</v>
      </c>
    </row>
    <row r="197" spans="2:4" ht="12.75" customHeight="1">
      <c r="B197" s="65" t="s">
        <v>38</v>
      </c>
      <c r="C197" s="65"/>
      <c r="D197" s="66">
        <f>D198+D200+D201+D199</f>
        <v>157.86</v>
      </c>
    </row>
    <row r="198" spans="2:4" ht="12.75">
      <c r="B198" s="54"/>
      <c r="C198" s="63" t="s">
        <v>15</v>
      </c>
      <c r="D198" s="54">
        <f>91.77+18.54+8.06+11.88+2.77+0.72+2.86+2.31</f>
        <v>138.91000000000003</v>
      </c>
    </row>
    <row r="199" spans="2:4" ht="12.75">
      <c r="B199" s="54"/>
      <c r="C199" s="63" t="s">
        <v>39</v>
      </c>
      <c r="D199" s="59">
        <v>10.26</v>
      </c>
    </row>
    <row r="200" spans="2:4" ht="12.75">
      <c r="B200" s="54"/>
      <c r="C200" s="67" t="s">
        <v>40</v>
      </c>
      <c r="D200" s="59">
        <v>0.87</v>
      </c>
    </row>
    <row r="201" spans="2:4" ht="12.75">
      <c r="B201" s="54"/>
      <c r="C201" s="63" t="s">
        <v>41</v>
      </c>
      <c r="D201" s="54">
        <f>0.26+1.2+6.36</f>
        <v>7.82</v>
      </c>
    </row>
    <row r="202" spans="2:4" ht="12.75">
      <c r="B202" s="61" t="s">
        <v>19</v>
      </c>
      <c r="C202" s="61"/>
      <c r="D202" s="55">
        <v>15.9</v>
      </c>
    </row>
    <row r="203" spans="2:4" ht="12.75">
      <c r="B203" s="68" t="s">
        <v>42</v>
      </c>
      <c r="C203" s="68"/>
      <c r="D203" s="55">
        <f>43.2+16.28+0.7</f>
        <v>60.18000000000001</v>
      </c>
    </row>
    <row r="204" spans="2:4" ht="12.75">
      <c r="B204" s="54"/>
      <c r="C204" s="40" t="s">
        <v>21</v>
      </c>
      <c r="D204" s="66">
        <f>D192+D193+D197+D202+D203</f>
        <v>507.7</v>
      </c>
    </row>
    <row r="205" spans="2:4" ht="12.75">
      <c r="B205" s="55">
        <v>5</v>
      </c>
      <c r="C205" s="60" t="s">
        <v>9</v>
      </c>
      <c r="D205" s="66">
        <f>D204-D189/1000</f>
        <v>-22.140739999999994</v>
      </c>
    </row>
    <row r="206" spans="2:4" ht="12.75">
      <c r="B206" s="69"/>
      <c r="C206" s="69"/>
      <c r="D206" s="69"/>
    </row>
    <row r="207" spans="2:4" ht="12.75">
      <c r="B207" s="70" t="s">
        <v>47</v>
      </c>
      <c r="C207" s="70"/>
      <c r="D207" s="70"/>
    </row>
    <row r="209" spans="2:4" ht="12.75">
      <c r="B209" s="53" t="s">
        <v>0</v>
      </c>
      <c r="C209" s="53"/>
      <c r="D209" s="53"/>
    </row>
    <row r="210" spans="2:4" ht="12.75">
      <c r="B210" s="53" t="s">
        <v>30</v>
      </c>
      <c r="C210" s="53"/>
      <c r="D210" s="53"/>
    </row>
    <row r="211" spans="2:4" ht="12.75">
      <c r="B211" s="53" t="s">
        <v>51</v>
      </c>
      <c r="C211" s="53"/>
      <c r="D211" s="53"/>
    </row>
    <row r="212" spans="2:4" ht="12.75">
      <c r="B212" s="54"/>
      <c r="C212" s="54" t="s">
        <v>3</v>
      </c>
      <c r="D212" s="55" t="s">
        <v>4</v>
      </c>
    </row>
    <row r="213" spans="2:4" ht="12.75">
      <c r="B213" s="55">
        <v>1</v>
      </c>
      <c r="C213" s="56" t="s">
        <v>5</v>
      </c>
      <c r="D213" s="54">
        <v>3397.43</v>
      </c>
    </row>
    <row r="214" spans="2:4" ht="12.75">
      <c r="B214" s="55">
        <v>2</v>
      </c>
      <c r="C214" s="55" t="s">
        <v>32</v>
      </c>
      <c r="D214" s="54"/>
    </row>
    <row r="215" spans="2:4" ht="12.75">
      <c r="B215" s="54"/>
      <c r="C215" s="54" t="s">
        <v>7</v>
      </c>
      <c r="D215" s="54"/>
    </row>
    <row r="216" spans="2:4" ht="12.75">
      <c r="B216" s="54"/>
      <c r="C216" s="54" t="s">
        <v>33</v>
      </c>
      <c r="D216" s="57">
        <v>2260.46</v>
      </c>
    </row>
    <row r="217" spans="2:4" ht="12.75">
      <c r="B217" s="54"/>
      <c r="C217" s="54" t="s">
        <v>9</v>
      </c>
      <c r="D217" s="54">
        <f>D216-D215</f>
        <v>2260.46</v>
      </c>
    </row>
    <row r="218" spans="2:4" ht="12.75">
      <c r="B218" s="55">
        <v>3</v>
      </c>
      <c r="C218" s="58" t="s">
        <v>6</v>
      </c>
      <c r="D218" s="54"/>
    </row>
    <row r="219" spans="2:4" ht="12.75">
      <c r="B219" s="55"/>
      <c r="C219" s="54" t="s">
        <v>7</v>
      </c>
      <c r="D219" s="59">
        <v>601641.32</v>
      </c>
    </row>
    <row r="220" spans="2:4" ht="12.75">
      <c r="B220" s="55"/>
      <c r="C220" s="54" t="s">
        <v>8</v>
      </c>
      <c r="D220" s="59">
        <v>586308.88</v>
      </c>
    </row>
    <row r="221" spans="2:4" ht="12.75">
      <c r="B221" s="55"/>
      <c r="C221" s="54" t="s">
        <v>9</v>
      </c>
      <c r="D221" s="59">
        <f>D220-D219</f>
        <v>-15332.439999999944</v>
      </c>
    </row>
    <row r="222" spans="2:4" ht="12.75">
      <c r="B222" s="55">
        <v>4</v>
      </c>
      <c r="C222" s="60" t="s">
        <v>10</v>
      </c>
      <c r="D222" s="55" t="s">
        <v>11</v>
      </c>
    </row>
    <row r="223" spans="2:4" ht="12.75">
      <c r="B223" s="61" t="s">
        <v>14</v>
      </c>
      <c r="C223" s="61"/>
      <c r="D223" s="57">
        <v>81.22</v>
      </c>
    </row>
    <row r="224" spans="2:4" ht="12.75" customHeight="1">
      <c r="B224" s="62" t="s">
        <v>34</v>
      </c>
      <c r="C224" s="62"/>
      <c r="D224" s="55">
        <f>D225+D226+D227</f>
        <v>295.86</v>
      </c>
    </row>
    <row r="225" spans="2:4" ht="12.75">
      <c r="B225" s="54"/>
      <c r="C225" s="63" t="s">
        <v>35</v>
      </c>
      <c r="D225" s="59">
        <v>131.5</v>
      </c>
    </row>
    <row r="226" spans="2:4" ht="12.75">
      <c r="B226" s="54"/>
      <c r="C226" s="63" t="s">
        <v>36</v>
      </c>
      <c r="D226" s="64">
        <v>164.36</v>
      </c>
    </row>
    <row r="227" spans="2:4" ht="12.75">
      <c r="B227" s="61" t="s">
        <v>37</v>
      </c>
      <c r="C227" s="61"/>
      <c r="D227" s="72">
        <v>0</v>
      </c>
    </row>
    <row r="228" spans="2:4" ht="12.75" customHeight="1">
      <c r="B228" s="65" t="s">
        <v>38</v>
      </c>
      <c r="C228" s="65"/>
      <c r="D228" s="66">
        <f>D229+D231+D232+D230</f>
        <v>133.65999999999997</v>
      </c>
    </row>
    <row r="229" spans="2:4" ht="12.75">
      <c r="B229" s="54"/>
      <c r="C229" s="63" t="s">
        <v>15</v>
      </c>
      <c r="D229" s="54">
        <f>79.75+16.1+7+10.32+3.3+0.85+2.8</f>
        <v>120.11999999999998</v>
      </c>
    </row>
    <row r="230" spans="2:4" ht="12.75">
      <c r="B230" s="54"/>
      <c r="C230" s="63" t="s">
        <v>39</v>
      </c>
      <c r="D230" s="59">
        <v>11.83</v>
      </c>
    </row>
    <row r="231" spans="2:4" ht="12.75">
      <c r="B231" s="54"/>
      <c r="C231" s="67" t="s">
        <v>40</v>
      </c>
      <c r="D231" s="59">
        <v>0</v>
      </c>
    </row>
    <row r="232" spans="2:4" ht="12.75">
      <c r="B232" s="54"/>
      <c r="C232" s="63" t="s">
        <v>41</v>
      </c>
      <c r="D232" s="54">
        <f>0.31+1.4</f>
        <v>1.71</v>
      </c>
    </row>
    <row r="233" spans="2:4" ht="12.75">
      <c r="B233" s="61" t="s">
        <v>19</v>
      </c>
      <c r="C233" s="61"/>
      <c r="D233" s="55">
        <v>17.59</v>
      </c>
    </row>
    <row r="234" spans="2:4" ht="12.75">
      <c r="B234" s="68" t="s">
        <v>42</v>
      </c>
      <c r="C234" s="68"/>
      <c r="D234" s="55">
        <f>52+19.59+0.86</f>
        <v>72.45</v>
      </c>
    </row>
    <row r="235" spans="2:4" ht="12.75">
      <c r="B235" s="54"/>
      <c r="C235" s="40" t="s">
        <v>21</v>
      </c>
      <c r="D235" s="66">
        <f>D223+D224+D228+D233+D234</f>
        <v>600.7800000000001</v>
      </c>
    </row>
    <row r="236" spans="2:4" ht="12.75">
      <c r="B236" s="55">
        <v>5</v>
      </c>
      <c r="C236" s="60" t="s">
        <v>9</v>
      </c>
      <c r="D236" s="66">
        <f>D235-D220/1000</f>
        <v>14.471120000000042</v>
      </c>
    </row>
    <row r="237" spans="2:4" ht="12.75">
      <c r="B237" s="69"/>
      <c r="C237" s="69"/>
      <c r="D237" s="69"/>
    </row>
    <row r="238" spans="2:4" ht="12.75">
      <c r="B238" s="70" t="s">
        <v>47</v>
      </c>
      <c r="C238" s="70"/>
      <c r="D238" s="70"/>
    </row>
    <row r="240" spans="2:4" ht="12.75">
      <c r="B240" s="53" t="s">
        <v>0</v>
      </c>
      <c r="C240" s="53"/>
      <c r="D240" s="53"/>
    </row>
    <row r="241" spans="2:4" ht="12.75">
      <c r="B241" s="53" t="s">
        <v>30</v>
      </c>
      <c r="C241" s="53"/>
      <c r="D241" s="53"/>
    </row>
    <row r="242" spans="2:4" ht="12.75">
      <c r="B242" s="53" t="s">
        <v>52</v>
      </c>
      <c r="C242" s="53"/>
      <c r="D242" s="53"/>
    </row>
    <row r="243" spans="2:4" ht="12.75">
      <c r="B243" s="54"/>
      <c r="C243" s="54" t="s">
        <v>3</v>
      </c>
      <c r="D243" s="55" t="s">
        <v>4</v>
      </c>
    </row>
    <row r="244" spans="2:4" ht="12.75">
      <c r="B244" s="55">
        <v>1</v>
      </c>
      <c r="C244" s="56" t="s">
        <v>5</v>
      </c>
      <c r="D244" s="54">
        <v>3608.95</v>
      </c>
    </row>
    <row r="245" spans="2:4" ht="12.75">
      <c r="B245" s="55">
        <v>2</v>
      </c>
      <c r="C245" s="55" t="s">
        <v>32</v>
      </c>
      <c r="D245" s="54"/>
    </row>
    <row r="246" spans="2:4" ht="12.75">
      <c r="B246" s="54"/>
      <c r="C246" s="54" t="s">
        <v>7</v>
      </c>
      <c r="D246" s="54">
        <v>3950.98</v>
      </c>
    </row>
    <row r="247" spans="2:4" ht="12.75">
      <c r="B247" s="54"/>
      <c r="C247" s="54" t="s">
        <v>33</v>
      </c>
      <c r="D247" s="57">
        <v>2996.91</v>
      </c>
    </row>
    <row r="248" spans="2:4" ht="12.75">
      <c r="B248" s="54"/>
      <c r="C248" s="54" t="s">
        <v>9</v>
      </c>
      <c r="D248" s="54">
        <f>D247-D246</f>
        <v>-954.0700000000002</v>
      </c>
    </row>
    <row r="249" spans="2:4" ht="12.75">
      <c r="B249" s="55">
        <v>3</v>
      </c>
      <c r="C249" s="58" t="s">
        <v>53</v>
      </c>
      <c r="D249" s="54"/>
    </row>
    <row r="250" spans="2:4" ht="12.75">
      <c r="B250" s="55"/>
      <c r="C250" s="54" t="s">
        <v>7</v>
      </c>
      <c r="D250" s="59">
        <v>645374.89</v>
      </c>
    </row>
    <row r="251" spans="2:4" ht="12.75">
      <c r="B251" s="55"/>
      <c r="C251" s="54" t="s">
        <v>8</v>
      </c>
      <c r="D251" s="59">
        <v>679176.17</v>
      </c>
    </row>
    <row r="252" spans="2:4" ht="12.75">
      <c r="B252" s="55"/>
      <c r="C252" s="54" t="s">
        <v>9</v>
      </c>
      <c r="D252" s="59">
        <f>D251-D250</f>
        <v>33801.28000000003</v>
      </c>
    </row>
    <row r="253" spans="2:4" ht="12.75">
      <c r="B253" s="55">
        <v>4</v>
      </c>
      <c r="C253" s="60" t="s">
        <v>10</v>
      </c>
      <c r="D253" s="55" t="s">
        <v>11</v>
      </c>
    </row>
    <row r="254" spans="2:4" ht="12.75">
      <c r="B254" s="61" t="s">
        <v>14</v>
      </c>
      <c r="C254" s="61"/>
      <c r="D254" s="57">
        <v>87.1</v>
      </c>
    </row>
    <row r="255" spans="2:4" ht="12.75" customHeight="1">
      <c r="B255" s="62" t="s">
        <v>34</v>
      </c>
      <c r="C255" s="62"/>
      <c r="D255" s="55">
        <f>D256+D257+D258</f>
        <v>223.58</v>
      </c>
    </row>
    <row r="256" spans="2:4" ht="12.75">
      <c r="B256" s="54"/>
      <c r="C256" s="63" t="s">
        <v>35</v>
      </c>
      <c r="D256" s="59">
        <v>139.7</v>
      </c>
    </row>
    <row r="257" spans="2:4" ht="12.75">
      <c r="B257" s="54"/>
      <c r="C257" s="63" t="s">
        <v>36</v>
      </c>
      <c r="D257" s="64">
        <v>81.48</v>
      </c>
    </row>
    <row r="258" spans="2:4" ht="12.75">
      <c r="B258" s="61" t="s">
        <v>37</v>
      </c>
      <c r="C258" s="61"/>
      <c r="D258" s="64">
        <v>2.4</v>
      </c>
    </row>
    <row r="259" spans="2:4" ht="12.75" customHeight="1">
      <c r="B259" s="65" t="s">
        <v>38</v>
      </c>
      <c r="C259" s="65"/>
      <c r="D259" s="66">
        <f>D260+D262+D263+D261</f>
        <v>140.21</v>
      </c>
    </row>
    <row r="260" spans="2:4" ht="12.75">
      <c r="B260" s="54"/>
      <c r="C260" s="63" t="s">
        <v>15</v>
      </c>
      <c r="D260" s="54">
        <f>82.36+16.64+7.23+10.66+3.55+0.9+0.9+3.27</f>
        <v>125.51</v>
      </c>
    </row>
    <row r="261" spans="2:4" ht="12.75">
      <c r="B261" s="54"/>
      <c r="C261" s="63" t="s">
        <v>39</v>
      </c>
      <c r="D261" s="59">
        <v>8.04</v>
      </c>
    </row>
    <row r="262" spans="2:4" ht="12.75">
      <c r="B262" s="54"/>
      <c r="C262" s="67" t="s">
        <v>40</v>
      </c>
      <c r="D262" s="59">
        <v>0</v>
      </c>
    </row>
    <row r="263" spans="2:4" ht="12.75">
      <c r="B263" s="54"/>
      <c r="C263" s="63" t="s">
        <v>41</v>
      </c>
      <c r="D263" s="54">
        <f>0.33+1.53+4.8</f>
        <v>6.66</v>
      </c>
    </row>
    <row r="264" spans="2:4" ht="12.75">
      <c r="B264" s="61" t="s">
        <v>19</v>
      </c>
      <c r="C264" s="61"/>
      <c r="D264" s="55">
        <v>20.38</v>
      </c>
    </row>
    <row r="265" spans="2:4" ht="12.75">
      <c r="B265" s="68" t="s">
        <v>42</v>
      </c>
      <c r="C265" s="68"/>
      <c r="D265" s="55">
        <f>55.22+20.8+0.9</f>
        <v>76.92</v>
      </c>
    </row>
    <row r="266" spans="2:4" ht="12.75">
      <c r="B266" s="68" t="s">
        <v>54</v>
      </c>
      <c r="C266" s="68"/>
      <c r="D266" s="55">
        <v>11.58</v>
      </c>
    </row>
    <row r="267" spans="2:4" ht="12.75">
      <c r="B267" s="54"/>
      <c r="C267" s="40" t="s">
        <v>21</v>
      </c>
      <c r="D267" s="66">
        <f>D254+D255+D259+D264+D265+D266</f>
        <v>559.77</v>
      </c>
    </row>
    <row r="268" spans="2:4" ht="12.75">
      <c r="B268" s="55">
        <v>5</v>
      </c>
      <c r="C268" s="60" t="s">
        <v>9</v>
      </c>
      <c r="D268" s="66">
        <f>D267-D251/1000</f>
        <v>-119.40617000000009</v>
      </c>
    </row>
    <row r="269" spans="2:4" ht="12.75">
      <c r="B269" s="69"/>
      <c r="C269" s="69"/>
      <c r="D269" s="69"/>
    </row>
    <row r="270" spans="2:4" ht="12.75">
      <c r="B270" s="70" t="s">
        <v>47</v>
      </c>
      <c r="C270" s="70"/>
      <c r="D270" s="70"/>
    </row>
    <row r="272" spans="2:4" ht="12.75">
      <c r="B272" s="53" t="s">
        <v>0</v>
      </c>
      <c r="C272" s="53"/>
      <c r="D272" s="53"/>
    </row>
    <row r="273" spans="2:4" ht="12.75">
      <c r="B273" s="53" t="s">
        <v>30</v>
      </c>
      <c r="C273" s="53"/>
      <c r="D273" s="53"/>
    </row>
    <row r="274" spans="2:4" ht="12.75">
      <c r="B274" s="53" t="s">
        <v>55</v>
      </c>
      <c r="C274" s="53"/>
      <c r="D274" s="53"/>
    </row>
    <row r="275" spans="2:4" ht="12.75">
      <c r="B275" s="54"/>
      <c r="C275" s="54" t="s">
        <v>3</v>
      </c>
      <c r="D275" s="55" t="s">
        <v>4</v>
      </c>
    </row>
    <row r="276" spans="2:4" ht="12.75">
      <c r="B276" s="55">
        <v>1</v>
      </c>
      <c r="C276" s="56" t="s">
        <v>5</v>
      </c>
      <c r="D276" s="54">
        <v>519.71</v>
      </c>
    </row>
    <row r="277" spans="2:4" ht="12.75">
      <c r="B277" s="55">
        <v>2</v>
      </c>
      <c r="C277" s="55" t="s">
        <v>32</v>
      </c>
      <c r="D277" s="54"/>
    </row>
    <row r="278" spans="2:4" ht="12.75">
      <c r="B278" s="54"/>
      <c r="C278" s="54" t="s">
        <v>7</v>
      </c>
      <c r="D278" s="54"/>
    </row>
    <row r="279" spans="2:4" ht="12.75">
      <c r="B279" s="54"/>
      <c r="C279" s="54" t="s">
        <v>33</v>
      </c>
      <c r="D279" s="57">
        <v>656.17</v>
      </c>
    </row>
    <row r="280" spans="2:4" ht="12.75">
      <c r="B280" s="54"/>
      <c r="C280" s="54" t="s">
        <v>9</v>
      </c>
      <c r="D280" s="54">
        <f>D279-D278</f>
        <v>656.17</v>
      </c>
    </row>
    <row r="281" spans="2:4" ht="12.75">
      <c r="B281" s="55">
        <v>3</v>
      </c>
      <c r="C281" s="58" t="s">
        <v>6</v>
      </c>
      <c r="D281" s="54"/>
    </row>
    <row r="282" spans="2:4" ht="12.75">
      <c r="B282" s="55"/>
      <c r="C282" s="54" t="s">
        <v>7</v>
      </c>
      <c r="D282" s="59">
        <v>97971.28</v>
      </c>
    </row>
    <row r="283" spans="2:4" ht="12.75">
      <c r="B283" s="55"/>
      <c r="C283" s="54" t="s">
        <v>8</v>
      </c>
      <c r="D283" s="59">
        <v>77376.4</v>
      </c>
    </row>
    <row r="284" spans="2:4" ht="12.75">
      <c r="B284" s="55"/>
      <c r="C284" s="54" t="s">
        <v>9</v>
      </c>
      <c r="D284" s="59">
        <f>D283-D282</f>
        <v>-20594.880000000005</v>
      </c>
    </row>
    <row r="285" spans="2:4" ht="12.75">
      <c r="B285" s="55">
        <v>4</v>
      </c>
      <c r="C285" s="60" t="s">
        <v>10</v>
      </c>
      <c r="D285" s="55" t="s">
        <v>11</v>
      </c>
    </row>
    <row r="286" spans="2:4" ht="12.75">
      <c r="B286" s="61" t="s">
        <v>14</v>
      </c>
      <c r="C286" s="61"/>
      <c r="D286" s="57">
        <v>13.23</v>
      </c>
    </row>
    <row r="287" spans="2:4" ht="12.75" customHeight="1">
      <c r="B287" s="62" t="s">
        <v>34</v>
      </c>
      <c r="C287" s="62"/>
      <c r="D287" s="55">
        <f>D288+D289+D290</f>
        <v>21.8</v>
      </c>
    </row>
    <row r="288" spans="2:4" ht="12.75">
      <c r="B288" s="54"/>
      <c r="C288" s="63" t="s">
        <v>35</v>
      </c>
      <c r="D288" s="59">
        <v>20.12</v>
      </c>
    </row>
    <row r="289" spans="2:4" ht="12.75">
      <c r="B289" s="54"/>
      <c r="C289" s="63" t="s">
        <v>36</v>
      </c>
      <c r="D289" s="64">
        <v>1.6800000000000002</v>
      </c>
    </row>
    <row r="290" spans="2:4" ht="12.75">
      <c r="B290" s="61" t="s">
        <v>37</v>
      </c>
      <c r="C290" s="61"/>
      <c r="D290" s="72">
        <v>0</v>
      </c>
    </row>
    <row r="291" spans="2:4" ht="12.75" customHeight="1">
      <c r="B291" s="65" t="s">
        <v>38</v>
      </c>
      <c r="C291" s="65"/>
      <c r="D291" s="66">
        <f>D292+D294+D295+D293</f>
        <v>21.25</v>
      </c>
    </row>
    <row r="292" spans="2:4" ht="12.75">
      <c r="B292" s="54"/>
      <c r="C292" s="63" t="s">
        <v>15</v>
      </c>
      <c r="D292" s="54">
        <f>13.38+2.7+1.2+1.73+0.5+0.1+0.43</f>
        <v>20.040000000000003</v>
      </c>
    </row>
    <row r="293" spans="2:4" ht="12.75">
      <c r="B293" s="54"/>
      <c r="C293" s="63" t="s">
        <v>39</v>
      </c>
      <c r="D293" s="59">
        <v>0.99</v>
      </c>
    </row>
    <row r="294" spans="2:4" ht="12.75">
      <c r="B294" s="54"/>
      <c r="C294" s="67" t="s">
        <v>40</v>
      </c>
      <c r="D294" s="59">
        <v>0</v>
      </c>
    </row>
    <row r="295" spans="2:4" ht="12.75">
      <c r="B295" s="54"/>
      <c r="C295" s="63" t="s">
        <v>41</v>
      </c>
      <c r="D295" s="54">
        <v>0.22</v>
      </c>
    </row>
    <row r="296" spans="2:4" ht="12.75">
      <c r="B296" s="61" t="s">
        <v>19</v>
      </c>
      <c r="C296" s="61"/>
      <c r="D296" s="55">
        <v>2.33</v>
      </c>
    </row>
    <row r="297" spans="2:4" ht="12.75">
      <c r="B297" s="68" t="s">
        <v>42</v>
      </c>
      <c r="C297" s="68"/>
      <c r="D297" s="55">
        <f>7.95+3+0.13</f>
        <v>11.08</v>
      </c>
    </row>
    <row r="298" spans="2:4" ht="12.75">
      <c r="B298" s="54"/>
      <c r="C298" s="40" t="s">
        <v>21</v>
      </c>
      <c r="D298" s="66">
        <f>D286+D287+D291+D296+D297</f>
        <v>69.69</v>
      </c>
    </row>
    <row r="299" spans="2:4" ht="12.75">
      <c r="B299" s="55">
        <v>5</v>
      </c>
      <c r="C299" s="60" t="s">
        <v>9</v>
      </c>
      <c r="D299" s="66">
        <f>D298-D283/1000</f>
        <v>-7.686399999999992</v>
      </c>
    </row>
    <row r="300" spans="2:4" ht="12.75">
      <c r="B300" s="69"/>
      <c r="C300" s="69"/>
      <c r="D300" s="69"/>
    </row>
    <row r="301" spans="2:4" ht="12.75">
      <c r="B301" s="70" t="s">
        <v>47</v>
      </c>
      <c r="C301" s="70"/>
      <c r="D301" s="70"/>
    </row>
    <row r="303" spans="2:4" ht="12.75">
      <c r="B303" s="53" t="s">
        <v>0</v>
      </c>
      <c r="C303" s="53"/>
      <c r="D303" s="53"/>
    </row>
    <row r="304" spans="2:4" ht="12.75">
      <c r="B304" s="53" t="s">
        <v>30</v>
      </c>
      <c r="C304" s="53"/>
      <c r="D304" s="53"/>
    </row>
    <row r="305" spans="2:4" ht="12.75">
      <c r="B305" s="53" t="s">
        <v>56</v>
      </c>
      <c r="C305" s="53"/>
      <c r="D305" s="53"/>
    </row>
    <row r="306" spans="2:4" ht="12.75">
      <c r="B306" s="54"/>
      <c r="C306" s="54" t="s">
        <v>3</v>
      </c>
      <c r="D306" s="55" t="s">
        <v>4</v>
      </c>
    </row>
    <row r="307" spans="2:4" ht="12.75">
      <c r="B307" s="55">
        <v>1</v>
      </c>
      <c r="C307" s="56" t="s">
        <v>5</v>
      </c>
      <c r="D307" s="54">
        <v>446.6</v>
      </c>
    </row>
    <row r="308" spans="2:4" ht="12.75">
      <c r="B308" s="55">
        <v>2</v>
      </c>
      <c r="C308" s="55" t="s">
        <v>32</v>
      </c>
      <c r="D308" s="54"/>
    </row>
    <row r="309" spans="2:4" ht="12.75">
      <c r="B309" s="54"/>
      <c r="C309" s="54" t="s">
        <v>7</v>
      </c>
      <c r="D309" s="54"/>
    </row>
    <row r="310" spans="2:4" ht="12.75">
      <c r="B310" s="54"/>
      <c r="C310" s="54" t="s">
        <v>33</v>
      </c>
      <c r="D310" s="59">
        <v>818.38</v>
      </c>
    </row>
    <row r="311" spans="2:4" ht="12.75">
      <c r="B311" s="54"/>
      <c r="C311" s="54" t="s">
        <v>9</v>
      </c>
      <c r="D311" s="54">
        <f>D310-D309</f>
        <v>818.38</v>
      </c>
    </row>
    <row r="312" spans="2:4" ht="12.75">
      <c r="B312" s="55">
        <v>3</v>
      </c>
      <c r="C312" s="58" t="s">
        <v>6</v>
      </c>
      <c r="D312" s="54"/>
    </row>
    <row r="313" spans="2:4" ht="12.75">
      <c r="B313" s="55"/>
      <c r="C313" s="54" t="s">
        <v>7</v>
      </c>
      <c r="D313" s="59">
        <v>84281.5</v>
      </c>
    </row>
    <row r="314" spans="2:4" ht="12.75">
      <c r="B314" s="55"/>
      <c r="C314" s="54" t="s">
        <v>8</v>
      </c>
      <c r="D314" s="59">
        <v>81095.56</v>
      </c>
    </row>
    <row r="315" spans="2:4" ht="12.75">
      <c r="B315" s="55"/>
      <c r="C315" s="54" t="s">
        <v>9</v>
      </c>
      <c r="D315" s="59">
        <f>D314-D313</f>
        <v>-3185.9400000000023</v>
      </c>
    </row>
    <row r="316" spans="2:4" ht="12.75">
      <c r="B316" s="55">
        <v>4</v>
      </c>
      <c r="C316" s="60" t="s">
        <v>10</v>
      </c>
      <c r="D316" s="55" t="s">
        <v>11</v>
      </c>
    </row>
    <row r="317" spans="2:4" ht="12.75">
      <c r="B317" s="61" t="s">
        <v>14</v>
      </c>
      <c r="C317" s="61"/>
      <c r="D317" s="57">
        <v>11.38</v>
      </c>
    </row>
    <row r="318" spans="2:4" ht="12.75" customHeight="1">
      <c r="B318" s="62" t="s">
        <v>34</v>
      </c>
      <c r="C318" s="62"/>
      <c r="D318" s="55">
        <f>D319+D320+D321</f>
        <v>26.82</v>
      </c>
    </row>
    <row r="319" spans="2:4" ht="12.75">
      <c r="B319" s="54"/>
      <c r="C319" s="63" t="s">
        <v>35</v>
      </c>
      <c r="D319" s="59">
        <v>17.29</v>
      </c>
    </row>
    <row r="320" spans="2:4" ht="12.75">
      <c r="B320" s="54"/>
      <c r="C320" s="63" t="s">
        <v>36</v>
      </c>
      <c r="D320" s="64">
        <v>9.53</v>
      </c>
    </row>
    <row r="321" spans="2:4" ht="12.75">
      <c r="B321" s="61" t="s">
        <v>37</v>
      </c>
      <c r="C321" s="61"/>
      <c r="D321" s="72">
        <v>0</v>
      </c>
    </row>
    <row r="322" spans="2:4" ht="12.75" customHeight="1">
      <c r="B322" s="65" t="s">
        <v>38</v>
      </c>
      <c r="C322" s="65"/>
      <c r="D322" s="66">
        <f>D323+D325+D326+D324</f>
        <v>19.82</v>
      </c>
    </row>
    <row r="323" spans="2:4" ht="12.75">
      <c r="B323" s="54"/>
      <c r="C323" s="63" t="s">
        <v>15</v>
      </c>
      <c r="D323" s="54">
        <f>11.5+2.32+1.01+1.5+0.99+0.44+0.11+0.37</f>
        <v>18.24</v>
      </c>
    </row>
    <row r="324" spans="2:4" ht="12.75">
      <c r="B324" s="54"/>
      <c r="C324" s="63" t="s">
        <v>39</v>
      </c>
      <c r="D324" s="59">
        <v>1.35</v>
      </c>
    </row>
    <row r="325" spans="2:4" ht="12.75">
      <c r="B325" s="54"/>
      <c r="C325" s="67" t="s">
        <v>40</v>
      </c>
      <c r="D325" s="59">
        <v>0</v>
      </c>
    </row>
    <row r="326" spans="2:4" ht="12.75">
      <c r="B326" s="54"/>
      <c r="C326" s="63" t="s">
        <v>41</v>
      </c>
      <c r="D326" s="54">
        <f>0.04+0.19</f>
        <v>0.23</v>
      </c>
    </row>
    <row r="327" spans="2:4" ht="12.75">
      <c r="B327" s="61" t="s">
        <v>19</v>
      </c>
      <c r="C327" s="61"/>
      <c r="D327" s="55">
        <v>2.43</v>
      </c>
    </row>
    <row r="328" spans="2:4" ht="12.75">
      <c r="B328" s="68" t="s">
        <v>42</v>
      </c>
      <c r="C328" s="68"/>
      <c r="D328" s="55">
        <f>6.83+2.57+0.11</f>
        <v>9.51</v>
      </c>
    </row>
    <row r="329" spans="2:4" ht="12.75">
      <c r="B329" s="54"/>
      <c r="C329" s="40" t="s">
        <v>21</v>
      </c>
      <c r="D329" s="66">
        <f>D317+D318+D322+D327+D328</f>
        <v>69.96000000000001</v>
      </c>
    </row>
    <row r="330" spans="2:4" ht="12.75">
      <c r="B330" s="55">
        <v>5</v>
      </c>
      <c r="C330" s="60" t="s">
        <v>9</v>
      </c>
      <c r="D330" s="66">
        <f>D329-D314/1000</f>
        <v>-11.135559999999984</v>
      </c>
    </row>
    <row r="331" spans="2:4" ht="12.75">
      <c r="B331" s="69"/>
      <c r="C331" s="69"/>
      <c r="D331" s="69"/>
    </row>
    <row r="332" spans="2:4" ht="12.75">
      <c r="B332" s="70" t="s">
        <v>47</v>
      </c>
      <c r="C332" s="70"/>
      <c r="D332" s="70"/>
    </row>
    <row r="334" spans="2:4" ht="12.75">
      <c r="B334" s="53" t="s">
        <v>0</v>
      </c>
      <c r="C334" s="53"/>
      <c r="D334" s="53"/>
    </row>
    <row r="335" spans="2:4" ht="12.75">
      <c r="B335" s="53" t="s">
        <v>30</v>
      </c>
      <c r="C335" s="53"/>
      <c r="D335" s="53"/>
    </row>
    <row r="336" spans="2:4" ht="12.75">
      <c r="B336" s="53" t="s">
        <v>57</v>
      </c>
      <c r="C336" s="53"/>
      <c r="D336" s="53"/>
    </row>
    <row r="337" spans="2:4" ht="12.75">
      <c r="B337" s="54"/>
      <c r="C337" s="54" t="s">
        <v>3</v>
      </c>
      <c r="D337" s="55" t="s">
        <v>4</v>
      </c>
    </row>
    <row r="338" spans="2:4" ht="12.75">
      <c r="B338" s="55">
        <v>1</v>
      </c>
      <c r="C338" s="56" t="s">
        <v>5</v>
      </c>
      <c r="D338" s="54">
        <v>403.35</v>
      </c>
    </row>
    <row r="339" spans="2:4" ht="12.75">
      <c r="B339" s="55">
        <v>2</v>
      </c>
      <c r="C339" s="58" t="s">
        <v>6</v>
      </c>
      <c r="D339" s="54"/>
    </row>
    <row r="340" spans="2:4" ht="12.75">
      <c r="B340" s="55"/>
      <c r="C340" s="54" t="s">
        <v>7</v>
      </c>
      <c r="D340" s="59">
        <v>72809.36</v>
      </c>
    </row>
    <row r="341" spans="2:4" ht="12.75">
      <c r="B341" s="55"/>
      <c r="C341" s="54" t="s">
        <v>8</v>
      </c>
      <c r="D341" s="59">
        <v>72061.26</v>
      </c>
    </row>
    <row r="342" spans="2:4" ht="12.75">
      <c r="B342" s="55"/>
      <c r="C342" s="54" t="s">
        <v>9</v>
      </c>
      <c r="D342" s="59">
        <f>D341-D340</f>
        <v>-748.1000000000058</v>
      </c>
    </row>
    <row r="343" spans="2:4" ht="12.75">
      <c r="B343" s="55">
        <v>3</v>
      </c>
      <c r="C343" s="60" t="s">
        <v>10</v>
      </c>
      <c r="D343" s="55" t="s">
        <v>11</v>
      </c>
    </row>
    <row r="344" spans="2:4" ht="12.75">
      <c r="B344" s="61" t="s">
        <v>14</v>
      </c>
      <c r="C344" s="61"/>
      <c r="D344" s="59">
        <v>9.83</v>
      </c>
    </row>
    <row r="345" spans="2:4" ht="12.75" customHeight="1">
      <c r="B345" s="62" t="s">
        <v>34</v>
      </c>
      <c r="C345" s="62"/>
      <c r="D345" s="55">
        <f>D346+D347+D348</f>
        <v>48.11</v>
      </c>
    </row>
    <row r="346" spans="2:4" ht="12.75">
      <c r="B346" s="54"/>
      <c r="C346" s="63" t="s">
        <v>35</v>
      </c>
      <c r="D346" s="59">
        <v>15.61</v>
      </c>
    </row>
    <row r="347" spans="2:4" ht="12.75">
      <c r="B347" s="54"/>
      <c r="C347" s="63" t="s">
        <v>36</v>
      </c>
      <c r="D347" s="64">
        <v>32.5</v>
      </c>
    </row>
    <row r="348" spans="2:4" ht="12.75">
      <c r="B348" s="61" t="s">
        <v>37</v>
      </c>
      <c r="C348" s="61"/>
      <c r="D348" s="72">
        <v>0</v>
      </c>
    </row>
    <row r="349" spans="2:4" ht="12.75" customHeight="1">
      <c r="B349" s="65" t="s">
        <v>38</v>
      </c>
      <c r="C349" s="65"/>
      <c r="D349" s="66">
        <f>D350+D352+D353+D351+D354</f>
        <v>17.749999999999996</v>
      </c>
    </row>
    <row r="350" spans="2:4" ht="12.75">
      <c r="B350" s="54"/>
      <c r="C350" s="63" t="s">
        <v>15</v>
      </c>
      <c r="D350" s="54">
        <f>10.47+2.11+0.92+1.36+0.4+0.1+0.33</f>
        <v>15.69</v>
      </c>
    </row>
    <row r="351" spans="2:4" ht="12.75">
      <c r="B351" s="54"/>
      <c r="C351" s="63" t="s">
        <v>39</v>
      </c>
      <c r="D351" s="59">
        <v>0.24</v>
      </c>
    </row>
    <row r="352" spans="2:4" ht="12.75">
      <c r="B352" s="54"/>
      <c r="C352" s="67" t="s">
        <v>40</v>
      </c>
      <c r="D352" s="59">
        <v>0</v>
      </c>
    </row>
    <row r="353" spans="2:4" ht="12.75">
      <c r="B353" s="54"/>
      <c r="C353" s="63" t="s">
        <v>41</v>
      </c>
      <c r="D353" s="54">
        <f>0.17</f>
        <v>0.17</v>
      </c>
    </row>
    <row r="354" spans="2:4" ht="12.75">
      <c r="B354" s="54"/>
      <c r="C354" s="63" t="s">
        <v>58</v>
      </c>
      <c r="D354" s="54">
        <v>1.65</v>
      </c>
    </row>
    <row r="355" spans="2:4" ht="12.75">
      <c r="B355" s="61" t="s">
        <v>19</v>
      </c>
      <c r="C355" s="61"/>
      <c r="D355" s="55">
        <v>2.16</v>
      </c>
    </row>
    <row r="356" spans="2:4" ht="12.75">
      <c r="B356" s="68" t="s">
        <v>42</v>
      </c>
      <c r="C356" s="68"/>
      <c r="D356" s="55">
        <f>6.17</f>
        <v>6.17</v>
      </c>
    </row>
    <row r="357" spans="2:4" ht="12.75">
      <c r="B357" s="54"/>
      <c r="C357" s="40" t="s">
        <v>21</v>
      </c>
      <c r="D357" s="66">
        <f>D344+D345+D349+D355+D356</f>
        <v>84.02</v>
      </c>
    </row>
    <row r="358" spans="2:4" ht="12.75">
      <c r="B358" s="55">
        <v>4</v>
      </c>
      <c r="C358" s="60" t="s">
        <v>9</v>
      </c>
      <c r="D358" s="66">
        <f>D357-D341/1000</f>
        <v>11.958740000000006</v>
      </c>
    </row>
    <row r="359" spans="2:4" ht="12.75">
      <c r="B359" s="69"/>
      <c r="C359" s="69"/>
      <c r="D359" s="69"/>
    </row>
    <row r="360" spans="2:4" ht="12.75">
      <c r="B360" s="70" t="s">
        <v>47</v>
      </c>
      <c r="C360" s="70"/>
      <c r="D360" s="70"/>
    </row>
    <row r="362" spans="2:4" ht="12.75">
      <c r="B362" s="53" t="s">
        <v>0</v>
      </c>
      <c r="C362" s="53"/>
      <c r="D362" s="53"/>
    </row>
    <row r="363" spans="2:4" ht="12.75">
      <c r="B363" s="53" t="s">
        <v>30</v>
      </c>
      <c r="C363" s="53"/>
      <c r="D363" s="53"/>
    </row>
    <row r="364" spans="2:4" ht="12.75">
      <c r="B364" s="53" t="s">
        <v>59</v>
      </c>
      <c r="C364" s="53"/>
      <c r="D364" s="53"/>
    </row>
    <row r="365" spans="2:4" ht="12.75">
      <c r="B365" s="54"/>
      <c r="C365" s="54" t="s">
        <v>3</v>
      </c>
      <c r="D365" s="55" t="s">
        <v>4</v>
      </c>
    </row>
    <row r="366" spans="2:4" ht="12.75">
      <c r="B366" s="55">
        <v>1</v>
      </c>
      <c r="C366" s="56" t="s">
        <v>5</v>
      </c>
      <c r="D366" s="54">
        <v>358.7</v>
      </c>
    </row>
    <row r="367" spans="2:4" ht="12.75">
      <c r="B367" s="55">
        <v>2</v>
      </c>
      <c r="C367" s="55" t="s">
        <v>32</v>
      </c>
      <c r="D367" s="54"/>
    </row>
    <row r="368" spans="2:4" ht="12.75">
      <c r="B368" s="54"/>
      <c r="C368" s="54" t="s">
        <v>7</v>
      </c>
      <c r="D368" s="54">
        <v>15177.6</v>
      </c>
    </row>
    <row r="369" spans="2:4" ht="12.75">
      <c r="B369" s="54"/>
      <c r="C369" s="54" t="s">
        <v>33</v>
      </c>
      <c r="D369" s="57">
        <v>16692.48</v>
      </c>
    </row>
    <row r="370" spans="2:4" ht="12.75">
      <c r="B370" s="54"/>
      <c r="C370" s="54" t="s">
        <v>9</v>
      </c>
      <c r="D370" s="54">
        <f>D369-D368</f>
        <v>1514.8799999999992</v>
      </c>
    </row>
    <row r="371" spans="2:4" ht="12.75">
      <c r="B371" s="55">
        <v>3</v>
      </c>
      <c r="C371" s="58" t="s">
        <v>6</v>
      </c>
      <c r="D371" s="54"/>
    </row>
    <row r="372" spans="2:4" ht="12.75">
      <c r="B372" s="55"/>
      <c r="C372" s="54" t="s">
        <v>7</v>
      </c>
      <c r="D372" s="59">
        <v>65406.19</v>
      </c>
    </row>
    <row r="373" spans="2:4" ht="12.75">
      <c r="B373" s="55"/>
      <c r="C373" s="54" t="s">
        <v>8</v>
      </c>
      <c r="D373" s="59">
        <v>70248.8</v>
      </c>
    </row>
    <row r="374" spans="2:4" ht="12.75">
      <c r="B374" s="55"/>
      <c r="C374" s="54" t="s">
        <v>9</v>
      </c>
      <c r="D374" s="59">
        <f>D373-D372</f>
        <v>4842.610000000001</v>
      </c>
    </row>
    <row r="375" spans="2:4" ht="12.75">
      <c r="B375" s="55">
        <v>4</v>
      </c>
      <c r="C375" s="60" t="s">
        <v>10</v>
      </c>
      <c r="D375" s="55" t="s">
        <v>11</v>
      </c>
    </row>
    <row r="376" spans="2:4" ht="12.75">
      <c r="B376" s="61" t="s">
        <v>14</v>
      </c>
      <c r="C376" s="61"/>
      <c r="D376" s="59">
        <v>8.83</v>
      </c>
    </row>
    <row r="377" spans="2:4" ht="12.75" customHeight="1">
      <c r="B377" s="62" t="s">
        <v>34</v>
      </c>
      <c r="C377" s="62"/>
      <c r="D377" s="55">
        <f>D378+D379+D380</f>
        <v>40.839999999999996</v>
      </c>
    </row>
    <row r="378" spans="2:4" ht="12.75">
      <c r="B378" s="54"/>
      <c r="C378" s="63" t="s">
        <v>35</v>
      </c>
      <c r="D378" s="59">
        <v>13.88</v>
      </c>
    </row>
    <row r="379" spans="2:4" ht="12.75">
      <c r="B379" s="54"/>
      <c r="C379" s="63" t="s">
        <v>36</v>
      </c>
      <c r="D379" s="64">
        <v>22.16</v>
      </c>
    </row>
    <row r="380" spans="2:4" ht="12.75">
      <c r="B380" s="61" t="s">
        <v>37</v>
      </c>
      <c r="C380" s="61"/>
      <c r="D380" s="72">
        <v>4.8</v>
      </c>
    </row>
    <row r="381" spans="2:4" ht="12.75" customHeight="1">
      <c r="B381" s="65" t="s">
        <v>38</v>
      </c>
      <c r="C381" s="65"/>
      <c r="D381" s="66">
        <f>D382+D384+D385+D383</f>
        <v>35.57300000000001</v>
      </c>
    </row>
    <row r="382" spans="2:4" ht="12.75">
      <c r="B382" s="54"/>
      <c r="C382" s="63" t="s">
        <v>15</v>
      </c>
      <c r="D382" s="54">
        <f>19.14+3.87+1.68+2.48+0.08+0.35+0.09+2.83+0.3</f>
        <v>30.820000000000004</v>
      </c>
    </row>
    <row r="383" spans="2:4" ht="12.75">
      <c r="B383" s="54"/>
      <c r="C383" s="63" t="s">
        <v>39</v>
      </c>
      <c r="D383" s="59">
        <v>1.66</v>
      </c>
    </row>
    <row r="384" spans="2:4" ht="12.75">
      <c r="B384" s="54"/>
      <c r="C384" s="67" t="s">
        <v>40</v>
      </c>
      <c r="D384" s="59">
        <v>0.03</v>
      </c>
    </row>
    <row r="385" spans="2:4" ht="12.75">
      <c r="B385" s="54"/>
      <c r="C385" s="63" t="s">
        <v>41</v>
      </c>
      <c r="D385" s="54">
        <f>0.033+0.15+2.88</f>
        <v>3.0629999999999997</v>
      </c>
    </row>
    <row r="386" spans="2:4" ht="12.75">
      <c r="B386" s="61" t="s">
        <v>19</v>
      </c>
      <c r="C386" s="61"/>
      <c r="D386" s="55">
        <v>2.1</v>
      </c>
    </row>
    <row r="387" spans="2:4" ht="12.75">
      <c r="B387" s="68" t="s">
        <v>42</v>
      </c>
      <c r="C387" s="68"/>
      <c r="D387" s="55">
        <f>5.49+2.07+0.09</f>
        <v>7.65</v>
      </c>
    </row>
    <row r="388" spans="2:4" ht="12.75">
      <c r="B388" s="54"/>
      <c r="C388" s="40" t="s">
        <v>21</v>
      </c>
      <c r="D388" s="66">
        <f>D376+D377+D381+D386+D387</f>
        <v>94.993</v>
      </c>
    </row>
    <row r="389" spans="2:4" ht="12.75">
      <c r="B389" s="55">
        <v>5</v>
      </c>
      <c r="C389" s="60" t="s">
        <v>9</v>
      </c>
      <c r="D389" s="66">
        <f>D388-D373/1000</f>
        <v>24.744199999999992</v>
      </c>
    </row>
    <row r="390" spans="2:4" ht="12.75">
      <c r="B390" s="69"/>
      <c r="C390" s="69"/>
      <c r="D390" s="69"/>
    </row>
    <row r="391" spans="2:4" ht="12.75">
      <c r="B391" s="70" t="s">
        <v>47</v>
      </c>
      <c r="C391" s="70"/>
      <c r="D391" s="70"/>
    </row>
    <row r="393" spans="2:4" ht="12.75">
      <c r="B393" s="53" t="s">
        <v>0</v>
      </c>
      <c r="C393" s="53"/>
      <c r="D393" s="53"/>
    </row>
    <row r="394" spans="2:4" ht="12.75">
      <c r="B394" s="53" t="s">
        <v>30</v>
      </c>
      <c r="C394" s="53"/>
      <c r="D394" s="53"/>
    </row>
    <row r="395" spans="2:4" ht="12.75">
      <c r="B395" s="53" t="s">
        <v>60</v>
      </c>
      <c r="C395" s="53"/>
      <c r="D395" s="53"/>
    </row>
    <row r="396" spans="2:4" ht="12.75">
      <c r="B396" s="54"/>
      <c r="C396" s="54" t="s">
        <v>3</v>
      </c>
      <c r="D396" s="55" t="s">
        <v>4</v>
      </c>
    </row>
    <row r="397" spans="2:4" ht="12.75">
      <c r="B397" s="55">
        <v>1</v>
      </c>
      <c r="C397" s="56" t="s">
        <v>5</v>
      </c>
      <c r="D397" s="54">
        <v>373.1</v>
      </c>
    </row>
    <row r="398" spans="2:4" ht="12.75">
      <c r="B398" s="55">
        <v>2</v>
      </c>
      <c r="C398" s="55" t="s">
        <v>32</v>
      </c>
      <c r="D398" s="54"/>
    </row>
    <row r="399" spans="2:4" ht="12.75">
      <c r="B399" s="54"/>
      <c r="C399" s="54" t="s">
        <v>7</v>
      </c>
      <c r="D399" s="54"/>
    </row>
    <row r="400" spans="2:4" ht="12.75">
      <c r="B400" s="54"/>
      <c r="C400" s="54" t="s">
        <v>33</v>
      </c>
      <c r="D400" s="57">
        <v>294.98</v>
      </c>
    </row>
    <row r="401" spans="2:4" ht="12.75">
      <c r="B401" s="54"/>
      <c r="C401" s="54" t="s">
        <v>9</v>
      </c>
      <c r="D401" s="54">
        <f>D400-D399</f>
        <v>294.98</v>
      </c>
    </row>
    <row r="402" spans="2:4" ht="12.75">
      <c r="B402" s="55">
        <v>3</v>
      </c>
      <c r="C402" s="58" t="s">
        <v>6</v>
      </c>
      <c r="D402" s="54"/>
    </row>
    <row r="403" spans="2:4" ht="12.75">
      <c r="B403" s="55"/>
      <c r="C403" s="54" t="s">
        <v>7</v>
      </c>
      <c r="D403" s="59">
        <v>68899.03</v>
      </c>
    </row>
    <row r="404" spans="2:4" ht="12.75">
      <c r="B404" s="55"/>
      <c r="C404" s="54" t="s">
        <v>8</v>
      </c>
      <c r="D404" s="59">
        <v>67711.08</v>
      </c>
    </row>
    <row r="405" spans="2:4" ht="12.75">
      <c r="B405" s="55"/>
      <c r="C405" s="54" t="s">
        <v>9</v>
      </c>
      <c r="D405" s="59">
        <f>D404-D403</f>
        <v>-1187.949999999997</v>
      </c>
    </row>
    <row r="406" spans="2:4" ht="12.75">
      <c r="B406" s="55">
        <v>4</v>
      </c>
      <c r="C406" s="60" t="s">
        <v>10</v>
      </c>
      <c r="D406" s="55" t="s">
        <v>11</v>
      </c>
    </row>
    <row r="407" spans="2:4" ht="12.75">
      <c r="B407" s="61" t="s">
        <v>14</v>
      </c>
      <c r="C407" s="61"/>
      <c r="D407" s="57">
        <v>9.3</v>
      </c>
    </row>
    <row r="408" spans="2:4" ht="12.75" customHeight="1">
      <c r="B408" s="62" t="s">
        <v>34</v>
      </c>
      <c r="C408" s="62"/>
      <c r="D408" s="55">
        <f>D409+D410+D411</f>
        <v>30.47</v>
      </c>
    </row>
    <row r="409" spans="2:4" ht="12.75">
      <c r="B409" s="54"/>
      <c r="C409" s="63" t="s">
        <v>35</v>
      </c>
      <c r="D409" s="59">
        <v>14.44</v>
      </c>
    </row>
    <row r="410" spans="2:4" ht="12.75">
      <c r="B410" s="54"/>
      <c r="C410" s="63" t="s">
        <v>36</v>
      </c>
      <c r="D410" s="64">
        <v>16.03</v>
      </c>
    </row>
    <row r="411" spans="2:4" ht="12.75">
      <c r="B411" s="61" t="s">
        <v>37</v>
      </c>
      <c r="C411" s="61"/>
      <c r="D411" s="72">
        <v>0</v>
      </c>
    </row>
    <row r="412" spans="2:4" ht="12.75" customHeight="1">
      <c r="B412" s="65" t="s">
        <v>38</v>
      </c>
      <c r="C412" s="65"/>
      <c r="D412" s="66">
        <f>D413+D415+D416+D414</f>
        <v>34.038</v>
      </c>
    </row>
    <row r="413" spans="2:4" ht="12.75">
      <c r="B413" s="54"/>
      <c r="C413" s="63" t="s">
        <v>15</v>
      </c>
      <c r="D413" s="54">
        <f>17.88+3.61+1.57+2.31+0.08+0.37+0.095+3.4+0.31</f>
        <v>29.624999999999993</v>
      </c>
    </row>
    <row r="414" spans="2:4" ht="12.75">
      <c r="B414" s="54"/>
      <c r="C414" s="63" t="s">
        <v>39</v>
      </c>
      <c r="D414" s="59">
        <v>1.35</v>
      </c>
    </row>
    <row r="415" spans="2:4" ht="12.75">
      <c r="B415" s="54"/>
      <c r="C415" s="67" t="s">
        <v>40</v>
      </c>
      <c r="D415" s="59">
        <v>0</v>
      </c>
    </row>
    <row r="416" spans="2:4" ht="12.75">
      <c r="B416" s="54"/>
      <c r="C416" s="63" t="s">
        <v>41</v>
      </c>
      <c r="D416" s="54">
        <f>0.033+0.16+2.87</f>
        <v>3.063</v>
      </c>
    </row>
    <row r="417" spans="2:4" ht="12.75">
      <c r="B417" s="61" t="s">
        <v>19</v>
      </c>
      <c r="C417" s="61"/>
      <c r="D417" s="55">
        <v>2.03</v>
      </c>
    </row>
    <row r="418" spans="2:4" ht="12.75">
      <c r="B418" s="68" t="s">
        <v>42</v>
      </c>
      <c r="C418" s="68"/>
      <c r="D418" s="55">
        <f>5.71+2.15+0.093</f>
        <v>7.952999999999999</v>
      </c>
    </row>
    <row r="419" spans="2:4" ht="12.75">
      <c r="B419" s="54"/>
      <c r="C419" s="40" t="s">
        <v>21</v>
      </c>
      <c r="D419" s="66">
        <f>D407+D408+D412+D417+D418</f>
        <v>83.791</v>
      </c>
    </row>
    <row r="420" spans="2:4" ht="12.75">
      <c r="B420" s="55">
        <v>5</v>
      </c>
      <c r="C420" s="60" t="s">
        <v>9</v>
      </c>
      <c r="D420" s="66">
        <f>D419-D404/1000</f>
        <v>16.07992</v>
      </c>
    </row>
    <row r="421" spans="2:4" ht="12.75">
      <c r="B421" s="69"/>
      <c r="C421" s="69"/>
      <c r="D421" s="69"/>
    </row>
    <row r="422" spans="2:4" ht="12.75">
      <c r="B422" s="70" t="s">
        <v>47</v>
      </c>
      <c r="C422" s="70"/>
      <c r="D422" s="70"/>
    </row>
    <row r="424" spans="2:4" ht="12.75">
      <c r="B424" s="53" t="s">
        <v>0</v>
      </c>
      <c r="C424" s="53"/>
      <c r="D424" s="53"/>
    </row>
    <row r="425" spans="2:4" ht="12.75">
      <c r="B425" s="53" t="s">
        <v>30</v>
      </c>
      <c r="C425" s="53"/>
      <c r="D425" s="53"/>
    </row>
    <row r="426" spans="2:4" ht="12.75">
      <c r="B426" s="53" t="s">
        <v>61</v>
      </c>
      <c r="C426" s="53"/>
      <c r="D426" s="53"/>
    </row>
    <row r="427" spans="2:4" ht="12.75">
      <c r="B427" s="54"/>
      <c r="C427" s="54" t="s">
        <v>3</v>
      </c>
      <c r="D427" s="55" t="s">
        <v>4</v>
      </c>
    </row>
    <row r="428" spans="2:4" ht="12.75">
      <c r="B428" s="55">
        <v>1</v>
      </c>
      <c r="C428" s="56" t="s">
        <v>5</v>
      </c>
      <c r="D428" s="54">
        <v>841.2</v>
      </c>
    </row>
    <row r="429" spans="2:4" ht="12.75">
      <c r="B429" s="55">
        <v>2</v>
      </c>
      <c r="C429" s="55" t="s">
        <v>32</v>
      </c>
      <c r="D429" s="54"/>
    </row>
    <row r="430" spans="2:4" ht="12.75">
      <c r="B430" s="54"/>
      <c r="C430" s="54" t="s">
        <v>7</v>
      </c>
      <c r="D430" s="54"/>
    </row>
    <row r="431" spans="2:4" ht="12.75">
      <c r="B431" s="54"/>
      <c r="C431" s="54" t="s">
        <v>33</v>
      </c>
      <c r="D431" s="57">
        <v>522.73</v>
      </c>
    </row>
    <row r="432" spans="2:4" ht="12.75">
      <c r="B432" s="54"/>
      <c r="C432" s="54" t="s">
        <v>9</v>
      </c>
      <c r="D432" s="54">
        <f>D431-D430</f>
        <v>522.73</v>
      </c>
    </row>
    <row r="433" spans="2:4" ht="12.75">
      <c r="B433" s="55">
        <v>3</v>
      </c>
      <c r="C433" s="58" t="s">
        <v>6</v>
      </c>
      <c r="D433" s="54"/>
    </row>
    <row r="434" spans="2:4" ht="12.75">
      <c r="B434" s="55"/>
      <c r="C434" s="54" t="s">
        <v>7</v>
      </c>
      <c r="D434" s="59">
        <v>157569.4</v>
      </c>
    </row>
    <row r="435" spans="2:4" ht="12.75">
      <c r="B435" s="55"/>
      <c r="C435" s="54" t="s">
        <v>8</v>
      </c>
      <c r="D435" s="59">
        <v>150956.11</v>
      </c>
    </row>
    <row r="436" spans="2:4" ht="12.75">
      <c r="B436" s="55"/>
      <c r="C436" s="54" t="s">
        <v>9</v>
      </c>
      <c r="D436" s="59">
        <f>D435-D434</f>
        <v>-6613.290000000008</v>
      </c>
    </row>
    <row r="437" spans="2:4" ht="12.75">
      <c r="B437" s="55">
        <v>4</v>
      </c>
      <c r="C437" s="60" t="s">
        <v>10</v>
      </c>
      <c r="D437" s="55" t="s">
        <v>11</v>
      </c>
    </row>
    <row r="438" spans="2:4" ht="12.75">
      <c r="B438" s="61" t="s">
        <v>14</v>
      </c>
      <c r="C438" s="61"/>
      <c r="D438" s="57">
        <v>21.27</v>
      </c>
    </row>
    <row r="439" spans="2:4" ht="12.75" customHeight="1">
      <c r="B439" s="62" t="s">
        <v>34</v>
      </c>
      <c r="C439" s="62"/>
      <c r="D439" s="55">
        <f>D440+D441+D442</f>
        <v>56.6</v>
      </c>
    </row>
    <row r="440" spans="2:4" ht="12.75">
      <c r="B440" s="54"/>
      <c r="C440" s="63" t="s">
        <v>35</v>
      </c>
      <c r="D440" s="59">
        <v>32.56</v>
      </c>
    </row>
    <row r="441" spans="2:4" ht="12.75">
      <c r="B441" s="54"/>
      <c r="C441" s="63" t="s">
        <v>36</v>
      </c>
      <c r="D441" s="64">
        <v>24.04</v>
      </c>
    </row>
    <row r="442" spans="2:4" ht="12.75">
      <c r="B442" s="61" t="s">
        <v>37</v>
      </c>
      <c r="C442" s="61"/>
      <c r="D442" s="72">
        <v>0</v>
      </c>
    </row>
    <row r="443" spans="2:4" ht="12.75" customHeight="1">
      <c r="B443" s="65" t="s">
        <v>38</v>
      </c>
      <c r="C443" s="65"/>
      <c r="D443" s="66">
        <f>D444+D446+D447+D445</f>
        <v>81.85999999999999</v>
      </c>
    </row>
    <row r="444" spans="2:4" ht="12.75">
      <c r="B444" s="54"/>
      <c r="C444" s="63" t="s">
        <v>15</v>
      </c>
      <c r="D444" s="54">
        <f>52.74+10.65+4.63+6.83+0.83+0.21+2.57+0.7</f>
        <v>79.15999999999998</v>
      </c>
    </row>
    <row r="445" spans="2:4" ht="12.75">
      <c r="B445" s="54"/>
      <c r="C445" s="63" t="s">
        <v>39</v>
      </c>
      <c r="D445" s="59">
        <v>2.26</v>
      </c>
    </row>
    <row r="446" spans="2:4" ht="12.75">
      <c r="B446" s="54"/>
      <c r="C446" s="67" t="s">
        <v>40</v>
      </c>
      <c r="D446" s="59">
        <v>0</v>
      </c>
    </row>
    <row r="447" spans="2:4" ht="12.75">
      <c r="B447" s="54"/>
      <c r="C447" s="63" t="s">
        <v>41</v>
      </c>
      <c r="D447" s="54">
        <f>0.08+0.36</f>
        <v>0.44</v>
      </c>
    </row>
    <row r="448" spans="2:4" ht="12.75">
      <c r="B448" s="61" t="s">
        <v>19</v>
      </c>
      <c r="C448" s="61"/>
      <c r="D448" s="55">
        <v>4.53</v>
      </c>
    </row>
    <row r="449" spans="2:4" ht="12.75">
      <c r="B449" s="68" t="s">
        <v>42</v>
      </c>
      <c r="C449" s="68"/>
      <c r="D449" s="55">
        <f>12.87+4.85+0.21</f>
        <v>17.93</v>
      </c>
    </row>
    <row r="450" spans="2:4" ht="12.75">
      <c r="B450" s="54"/>
      <c r="C450" s="40" t="s">
        <v>21</v>
      </c>
      <c r="D450" s="66">
        <f>D438+D439+D443+D448+D449</f>
        <v>182.19</v>
      </c>
    </row>
    <row r="451" spans="2:4" ht="12.75">
      <c r="B451" s="55">
        <v>5</v>
      </c>
      <c r="C451" s="60" t="s">
        <v>9</v>
      </c>
      <c r="D451" s="66">
        <f>D450-D435/1000</f>
        <v>31.233890000000002</v>
      </c>
    </row>
    <row r="452" spans="2:4" ht="12.75">
      <c r="B452" s="69"/>
      <c r="C452" s="69"/>
      <c r="D452" s="69"/>
    </row>
    <row r="453" spans="2:4" ht="12.75">
      <c r="B453" s="70" t="s">
        <v>47</v>
      </c>
      <c r="C453" s="70"/>
      <c r="D453" s="70"/>
    </row>
    <row r="455" spans="2:4" ht="12.75">
      <c r="B455" s="53" t="s">
        <v>0</v>
      </c>
      <c r="C455" s="53"/>
      <c r="D455" s="53"/>
    </row>
    <row r="456" spans="2:4" ht="12.75">
      <c r="B456" s="53" t="s">
        <v>30</v>
      </c>
      <c r="C456" s="53"/>
      <c r="D456" s="53"/>
    </row>
    <row r="457" spans="2:4" ht="12.75">
      <c r="B457" s="53" t="s">
        <v>62</v>
      </c>
      <c r="C457" s="53"/>
      <c r="D457" s="53"/>
    </row>
    <row r="458" spans="2:4" ht="12.75">
      <c r="B458" s="54"/>
      <c r="C458" s="54" t="s">
        <v>3</v>
      </c>
      <c r="D458" s="55" t="s">
        <v>4</v>
      </c>
    </row>
    <row r="459" spans="2:4" ht="12.75">
      <c r="B459" s="55">
        <v>1</v>
      </c>
      <c r="C459" s="56" t="s">
        <v>5</v>
      </c>
      <c r="D459" s="54">
        <v>2164.03</v>
      </c>
    </row>
    <row r="460" spans="2:4" ht="12.75">
      <c r="B460" s="55">
        <v>2</v>
      </c>
      <c r="C460" s="55" t="s">
        <v>32</v>
      </c>
      <c r="D460" s="54"/>
    </row>
    <row r="461" spans="2:4" ht="12.75">
      <c r="B461" s="54"/>
      <c r="C461" s="54" t="s">
        <v>7</v>
      </c>
      <c r="D461" s="54"/>
    </row>
    <row r="462" spans="2:4" ht="12.75">
      <c r="B462" s="54"/>
      <c r="C462" s="54" t="s">
        <v>33</v>
      </c>
      <c r="D462" s="59"/>
    </row>
    <row r="463" spans="2:4" ht="12.75">
      <c r="B463" s="54"/>
      <c r="C463" s="54" t="s">
        <v>9</v>
      </c>
      <c r="D463" s="54">
        <f>D462-D461</f>
        <v>0</v>
      </c>
    </row>
    <row r="464" spans="2:4" ht="12.75">
      <c r="B464" s="55">
        <v>3</v>
      </c>
      <c r="C464" s="58" t="s">
        <v>53</v>
      </c>
      <c r="D464" s="54"/>
    </row>
    <row r="465" spans="2:4" ht="12.75">
      <c r="B465" s="55"/>
      <c r="C465" s="54" t="s">
        <v>7</v>
      </c>
      <c r="D465" s="59">
        <v>419163.75</v>
      </c>
    </row>
    <row r="466" spans="2:4" ht="12.75">
      <c r="B466" s="55"/>
      <c r="C466" s="54" t="s">
        <v>8</v>
      </c>
      <c r="D466" s="59">
        <v>433243.43</v>
      </c>
    </row>
    <row r="467" spans="2:4" ht="12.75">
      <c r="B467" s="55"/>
      <c r="C467" s="54" t="s">
        <v>9</v>
      </c>
      <c r="D467" s="59">
        <f>D466-D465</f>
        <v>14079.679999999993</v>
      </c>
    </row>
    <row r="468" spans="2:4" ht="12.75">
      <c r="B468" s="55">
        <v>4</v>
      </c>
      <c r="C468" s="60" t="s">
        <v>10</v>
      </c>
      <c r="D468" s="55" t="s">
        <v>11</v>
      </c>
    </row>
    <row r="469" spans="2:4" ht="12.75">
      <c r="B469" s="61" t="s">
        <v>14</v>
      </c>
      <c r="C469" s="61"/>
      <c r="D469" s="57">
        <v>56.59</v>
      </c>
    </row>
    <row r="470" spans="2:4" ht="12.75" customHeight="1">
      <c r="B470" s="62" t="s">
        <v>34</v>
      </c>
      <c r="C470" s="62"/>
      <c r="D470" s="55">
        <f>D471+D472+D473</f>
        <v>152.42000000000002</v>
      </c>
    </row>
    <row r="471" spans="2:4" ht="12.75">
      <c r="B471" s="54"/>
      <c r="C471" s="63" t="s">
        <v>35</v>
      </c>
      <c r="D471" s="59">
        <v>83.77</v>
      </c>
    </row>
    <row r="472" spans="2:4" ht="12.75">
      <c r="B472" s="54"/>
      <c r="C472" s="63" t="s">
        <v>36</v>
      </c>
      <c r="D472" s="64">
        <v>68.65</v>
      </c>
    </row>
    <row r="473" spans="2:4" ht="12.75">
      <c r="B473" s="61" t="s">
        <v>37</v>
      </c>
      <c r="C473" s="61"/>
      <c r="D473" s="72">
        <v>0</v>
      </c>
    </row>
    <row r="474" spans="2:4" ht="12.75" customHeight="1">
      <c r="B474" s="65" t="s">
        <v>38</v>
      </c>
      <c r="C474" s="65"/>
      <c r="D474" s="66">
        <f>D475+D477+D478+D476</f>
        <v>116.62999999999997</v>
      </c>
    </row>
    <row r="475" spans="2:4" ht="12.75">
      <c r="B475" s="54"/>
      <c r="C475" s="63" t="s">
        <v>15</v>
      </c>
      <c r="D475" s="54">
        <f>66.61+13.46+5.85+8.62+0.27+2.13+0.55+9.33+1.78</f>
        <v>108.59999999999998</v>
      </c>
    </row>
    <row r="476" spans="2:4" ht="12.75">
      <c r="B476" s="54"/>
      <c r="C476" s="63" t="s">
        <v>39</v>
      </c>
      <c r="D476" s="59">
        <v>6.93</v>
      </c>
    </row>
    <row r="477" spans="2:4" ht="12.75">
      <c r="B477" s="54"/>
      <c r="C477" s="67" t="s">
        <v>40</v>
      </c>
      <c r="D477" s="59">
        <v>0</v>
      </c>
    </row>
    <row r="478" spans="2:4" ht="12.75">
      <c r="B478" s="54"/>
      <c r="C478" s="63" t="s">
        <v>41</v>
      </c>
      <c r="D478" s="59">
        <f>0.2+0.9</f>
        <v>1.1</v>
      </c>
    </row>
    <row r="479" spans="2:4" ht="12.75">
      <c r="B479" s="61" t="s">
        <v>19</v>
      </c>
      <c r="C479" s="61"/>
      <c r="D479" s="73">
        <v>13</v>
      </c>
    </row>
    <row r="480" spans="2:4" ht="12.75">
      <c r="B480" s="68" t="s">
        <v>42</v>
      </c>
      <c r="C480" s="68"/>
      <c r="D480" s="55">
        <f>33.1+12.48+0.54</f>
        <v>46.12</v>
      </c>
    </row>
    <row r="481" spans="2:4" ht="12.75">
      <c r="B481" s="68" t="s">
        <v>54</v>
      </c>
      <c r="C481" s="68"/>
      <c r="D481" s="55">
        <v>16.55</v>
      </c>
    </row>
    <row r="482" spans="2:4" ht="12.75">
      <c r="B482" s="54"/>
      <c r="C482" s="40" t="s">
        <v>21</v>
      </c>
      <c r="D482" s="66">
        <f>D469+D470+D474+D479+D480+D481</f>
        <v>401.31</v>
      </c>
    </row>
    <row r="483" spans="2:4" ht="12.75">
      <c r="B483" s="55">
        <v>5</v>
      </c>
      <c r="C483" s="60" t="s">
        <v>9</v>
      </c>
      <c r="D483" s="66">
        <f>D482-D466/1000</f>
        <v>-31.933429999999987</v>
      </c>
    </row>
    <row r="484" spans="2:4" ht="12.75">
      <c r="B484" s="69"/>
      <c r="C484" s="69"/>
      <c r="D484" s="69"/>
    </row>
    <row r="485" spans="2:4" ht="12.75">
      <c r="B485" s="70" t="s">
        <v>47</v>
      </c>
      <c r="C485" s="70"/>
      <c r="D485" s="70"/>
    </row>
    <row r="488" spans="2:4" ht="12.75">
      <c r="B488" s="53" t="s">
        <v>0</v>
      </c>
      <c r="C488" s="53"/>
      <c r="D488" s="53"/>
    </row>
    <row r="489" spans="2:4" ht="12.75">
      <c r="B489" s="53" t="s">
        <v>30</v>
      </c>
      <c r="C489" s="53"/>
      <c r="D489" s="53"/>
    </row>
    <row r="490" spans="2:4" ht="12.75">
      <c r="B490" s="53" t="s">
        <v>63</v>
      </c>
      <c r="C490" s="53"/>
      <c r="D490" s="53"/>
    </row>
    <row r="491" spans="2:4" ht="12.75">
      <c r="B491" s="54"/>
      <c r="C491" s="54" t="s">
        <v>3</v>
      </c>
      <c r="D491" s="55" t="s">
        <v>4</v>
      </c>
    </row>
    <row r="492" spans="2:4" ht="12.75">
      <c r="B492" s="55">
        <v>1</v>
      </c>
      <c r="C492" s="56" t="s">
        <v>5</v>
      </c>
      <c r="D492" s="54">
        <v>2150.05</v>
      </c>
    </row>
    <row r="493" spans="2:4" ht="12.75">
      <c r="B493" s="55">
        <v>2</v>
      </c>
      <c r="C493" s="55" t="s">
        <v>32</v>
      </c>
      <c r="D493" s="54"/>
    </row>
    <row r="494" spans="2:4" ht="12.75">
      <c r="B494" s="54"/>
      <c r="C494" s="54" t="s">
        <v>7</v>
      </c>
      <c r="D494" s="54">
        <v>6240.4</v>
      </c>
    </row>
    <row r="495" spans="2:4" ht="12.75">
      <c r="B495" s="54"/>
      <c r="C495" s="54" t="s">
        <v>33</v>
      </c>
      <c r="D495" s="57">
        <v>8413.48</v>
      </c>
    </row>
    <row r="496" spans="2:4" ht="12.75">
      <c r="B496" s="54"/>
      <c r="C496" s="54" t="s">
        <v>9</v>
      </c>
      <c r="D496" s="54">
        <f>D495-D494</f>
        <v>2173.08</v>
      </c>
    </row>
    <row r="497" spans="2:4" ht="12.75">
      <c r="B497" s="55">
        <v>3</v>
      </c>
      <c r="C497" s="58" t="s">
        <v>6</v>
      </c>
      <c r="D497" s="54"/>
    </row>
    <row r="498" spans="2:4" ht="12.75">
      <c r="B498" s="55"/>
      <c r="C498" s="54" t="s">
        <v>7</v>
      </c>
      <c r="D498" s="59">
        <v>405054.58</v>
      </c>
    </row>
    <row r="499" spans="2:4" ht="12.75">
      <c r="B499" s="55"/>
      <c r="C499" s="54" t="s">
        <v>8</v>
      </c>
      <c r="D499" s="59">
        <v>389510.87</v>
      </c>
    </row>
    <row r="500" spans="2:4" ht="12.75">
      <c r="B500" s="55"/>
      <c r="C500" s="54" t="s">
        <v>9</v>
      </c>
      <c r="D500" s="59">
        <f>D499-D498</f>
        <v>-15543.710000000021</v>
      </c>
    </row>
    <row r="501" spans="2:4" ht="12.75">
      <c r="B501" s="55">
        <v>4</v>
      </c>
      <c r="C501" s="60" t="s">
        <v>10</v>
      </c>
      <c r="D501" s="55" t="s">
        <v>11</v>
      </c>
    </row>
    <row r="502" spans="2:4" ht="12.75">
      <c r="B502" s="61" t="s">
        <v>14</v>
      </c>
      <c r="C502" s="61"/>
      <c r="D502" s="59">
        <v>54.68</v>
      </c>
    </row>
    <row r="503" spans="2:4" ht="12.75" customHeight="1">
      <c r="B503" s="62" t="s">
        <v>34</v>
      </c>
      <c r="C503" s="62"/>
      <c r="D503" s="55">
        <f>D504+D505+D506</f>
        <v>153.45999999999998</v>
      </c>
    </row>
    <row r="504" spans="2:4" ht="12.75">
      <c r="B504" s="54"/>
      <c r="C504" s="63" t="s">
        <v>35</v>
      </c>
      <c r="D504" s="59">
        <v>83.22</v>
      </c>
    </row>
    <row r="505" spans="2:4" ht="12.75">
      <c r="B505" s="54"/>
      <c r="C505" s="63" t="s">
        <v>36</v>
      </c>
      <c r="D505" s="64">
        <v>64.24</v>
      </c>
    </row>
    <row r="506" spans="2:4" ht="12.75">
      <c r="B506" s="61" t="s">
        <v>37</v>
      </c>
      <c r="C506" s="61"/>
      <c r="D506" s="72">
        <v>6</v>
      </c>
    </row>
    <row r="507" spans="2:4" ht="12.75" customHeight="1">
      <c r="B507" s="65" t="s">
        <v>38</v>
      </c>
      <c r="C507" s="65"/>
      <c r="D507" s="66">
        <f>D508+D510+D511+D509</f>
        <v>115.88999999999999</v>
      </c>
    </row>
    <row r="508" spans="2:4" ht="12.75">
      <c r="B508" s="54"/>
      <c r="C508" s="63" t="s">
        <v>15</v>
      </c>
      <c r="D508" s="54">
        <f>65.93+13.32+5.8+8.53+0.27+2.1+0.55+10.5+1.76</f>
        <v>108.75999999999999</v>
      </c>
    </row>
    <row r="509" spans="2:4" ht="12.75">
      <c r="B509" s="54"/>
      <c r="C509" s="63" t="s">
        <v>39</v>
      </c>
      <c r="D509" s="59">
        <v>6.03</v>
      </c>
    </row>
    <row r="510" spans="2:4" ht="12.75">
      <c r="B510" s="54"/>
      <c r="C510" s="67" t="s">
        <v>40</v>
      </c>
      <c r="D510" s="59">
        <v>0</v>
      </c>
    </row>
    <row r="511" spans="2:4" ht="12.75">
      <c r="B511" s="54"/>
      <c r="C511" s="63" t="s">
        <v>41</v>
      </c>
      <c r="D511" s="54">
        <f>0.2+0.9</f>
        <v>1.1</v>
      </c>
    </row>
    <row r="512" spans="2:4" ht="12.75">
      <c r="B512" s="61" t="s">
        <v>19</v>
      </c>
      <c r="C512" s="61"/>
      <c r="D512" s="55">
        <v>11.69</v>
      </c>
    </row>
    <row r="513" spans="2:4" ht="12.75">
      <c r="B513" s="68" t="s">
        <v>42</v>
      </c>
      <c r="C513" s="68"/>
      <c r="D513" s="55">
        <f>32.9+12.4+0.54</f>
        <v>45.839999999999996</v>
      </c>
    </row>
    <row r="514" spans="2:4" ht="12.75">
      <c r="B514" s="54"/>
      <c r="C514" s="40" t="s">
        <v>21</v>
      </c>
      <c r="D514" s="66">
        <f>D502+D503+D507+D512+D513</f>
        <v>381.55999999999995</v>
      </c>
    </row>
    <row r="515" spans="2:4" ht="12.75">
      <c r="B515" s="55">
        <v>5</v>
      </c>
      <c r="C515" s="60" t="s">
        <v>9</v>
      </c>
      <c r="D515" s="66">
        <f>D514-D499/1000</f>
        <v>-7.950870000000066</v>
      </c>
    </row>
    <row r="516" spans="2:4" ht="12.75">
      <c r="B516" s="69"/>
      <c r="C516" s="69"/>
      <c r="D516" s="69"/>
    </row>
    <row r="517" spans="2:4" ht="12.75">
      <c r="B517" s="70" t="s">
        <v>47</v>
      </c>
      <c r="C517" s="70"/>
      <c r="D517" s="70"/>
    </row>
    <row r="519" spans="2:4" ht="12.75">
      <c r="B519" s="53" t="s">
        <v>0</v>
      </c>
      <c r="C519" s="53"/>
      <c r="D519" s="53"/>
    </row>
    <row r="520" spans="2:4" ht="12.75">
      <c r="B520" s="53" t="s">
        <v>30</v>
      </c>
      <c r="C520" s="53"/>
      <c r="D520" s="53"/>
    </row>
    <row r="521" spans="2:4" ht="12.75">
      <c r="B521" s="53" t="s">
        <v>64</v>
      </c>
      <c r="C521" s="53"/>
      <c r="D521" s="53"/>
    </row>
    <row r="522" spans="2:4" ht="12.75">
      <c r="B522" s="54"/>
      <c r="C522" s="54" t="s">
        <v>3</v>
      </c>
      <c r="D522" s="55" t="s">
        <v>4</v>
      </c>
    </row>
    <row r="523" spans="2:4" ht="12.75">
      <c r="B523" s="55">
        <v>1</v>
      </c>
      <c r="C523" s="56" t="s">
        <v>5</v>
      </c>
      <c r="D523" s="54">
        <v>2189.1</v>
      </c>
    </row>
    <row r="524" spans="2:4" ht="12.75">
      <c r="B524" s="55">
        <v>2</v>
      </c>
      <c r="C524" s="55" t="s">
        <v>32</v>
      </c>
      <c r="D524" s="54"/>
    </row>
    <row r="525" spans="2:4" ht="12.75">
      <c r="B525" s="54"/>
      <c r="C525" s="54" t="s">
        <v>7</v>
      </c>
      <c r="D525" s="54"/>
    </row>
    <row r="526" spans="2:4" ht="12.75">
      <c r="B526" s="54"/>
      <c r="C526" s="54" t="s">
        <v>33</v>
      </c>
      <c r="D526" s="59">
        <v>236.91</v>
      </c>
    </row>
    <row r="527" spans="2:4" ht="12.75">
      <c r="B527" s="54"/>
      <c r="C527" s="54" t="s">
        <v>9</v>
      </c>
      <c r="D527" s="54">
        <f>D526-D525</f>
        <v>236.91</v>
      </c>
    </row>
    <row r="528" spans="2:4" ht="12.75">
      <c r="B528" s="55">
        <v>3</v>
      </c>
      <c r="C528" s="58" t="s">
        <v>6</v>
      </c>
      <c r="D528" s="54"/>
    </row>
    <row r="529" spans="2:4" ht="12.75">
      <c r="B529" s="55"/>
      <c r="C529" s="54" t="s">
        <v>7</v>
      </c>
      <c r="D529" s="59">
        <v>410731.52</v>
      </c>
    </row>
    <row r="530" spans="2:4" ht="12.75">
      <c r="B530" s="55"/>
      <c r="C530" s="54" t="s">
        <v>8</v>
      </c>
      <c r="D530" s="59">
        <v>389628.54</v>
      </c>
    </row>
    <row r="531" spans="2:4" ht="12.75">
      <c r="B531" s="55"/>
      <c r="C531" s="54" t="s">
        <v>9</v>
      </c>
      <c r="D531" s="59">
        <f>D530-D529</f>
        <v>-21102.98000000004</v>
      </c>
    </row>
    <row r="532" spans="2:4" ht="12.75">
      <c r="B532" s="55">
        <v>4</v>
      </c>
      <c r="C532" s="60" t="s">
        <v>10</v>
      </c>
      <c r="D532" s="55" t="s">
        <v>11</v>
      </c>
    </row>
    <row r="533" spans="2:4" ht="12.75">
      <c r="B533" s="61" t="s">
        <v>14</v>
      </c>
      <c r="C533" s="61"/>
      <c r="D533" s="57">
        <v>55.45</v>
      </c>
    </row>
    <row r="534" spans="2:4" ht="12.75" customHeight="1">
      <c r="B534" s="62" t="s">
        <v>34</v>
      </c>
      <c r="C534" s="62"/>
      <c r="D534" s="55">
        <f>D535+D536+D537</f>
        <v>161.60000000000002</v>
      </c>
    </row>
    <row r="535" spans="2:4" ht="12.75">
      <c r="B535" s="54"/>
      <c r="C535" s="63" t="s">
        <v>35</v>
      </c>
      <c r="D535" s="59">
        <v>84.74</v>
      </c>
    </row>
    <row r="536" spans="2:4" ht="12.75">
      <c r="B536" s="54"/>
      <c r="C536" s="63" t="s">
        <v>36</v>
      </c>
      <c r="D536" s="64">
        <v>66.06</v>
      </c>
    </row>
    <row r="537" spans="2:4" ht="12.75">
      <c r="B537" s="61" t="s">
        <v>37</v>
      </c>
      <c r="C537" s="61"/>
      <c r="D537" s="72">
        <v>10.8</v>
      </c>
    </row>
    <row r="538" spans="2:4" ht="12.75" customHeight="1">
      <c r="B538" s="65" t="s">
        <v>38</v>
      </c>
      <c r="C538" s="65"/>
      <c r="D538" s="66">
        <f>D539+D541+D542+D540</f>
        <v>134.16</v>
      </c>
    </row>
    <row r="539" spans="2:4" ht="12.75">
      <c r="B539" s="54"/>
      <c r="C539" s="63" t="s">
        <v>15</v>
      </c>
      <c r="D539" s="54">
        <f>78.3+15.82+6.88+10.14+0.27+2.15+0.56+11.38+1.8</f>
        <v>127.3</v>
      </c>
    </row>
    <row r="540" spans="2:4" ht="12.75">
      <c r="B540" s="54"/>
      <c r="C540" s="63" t="s">
        <v>39</v>
      </c>
      <c r="D540" s="59">
        <v>5.74</v>
      </c>
    </row>
    <row r="541" spans="2:4" ht="12.75">
      <c r="B541" s="54"/>
      <c r="C541" s="67" t="s">
        <v>40</v>
      </c>
      <c r="D541" s="59">
        <v>0</v>
      </c>
    </row>
    <row r="542" spans="2:4" ht="12.75">
      <c r="B542" s="54"/>
      <c r="C542" s="63" t="s">
        <v>41</v>
      </c>
      <c r="D542" s="54">
        <f>0.2+0.92</f>
        <v>1.12</v>
      </c>
    </row>
    <row r="543" spans="2:4" ht="12.75">
      <c r="B543" s="61" t="s">
        <v>19</v>
      </c>
      <c r="C543" s="61"/>
      <c r="D543" s="55">
        <v>11.69</v>
      </c>
    </row>
    <row r="544" spans="2:4" ht="12.75">
      <c r="B544" s="68" t="s">
        <v>42</v>
      </c>
      <c r="C544" s="68"/>
      <c r="D544" s="55">
        <f>33.5+12.62+0.55</f>
        <v>46.669999999999995</v>
      </c>
    </row>
    <row r="545" spans="2:4" ht="12.75">
      <c r="B545" s="54"/>
      <c r="C545" s="40" t="s">
        <v>21</v>
      </c>
      <c r="D545" s="66">
        <f>D533+D534+D538+D543+D544</f>
        <v>409.57000000000005</v>
      </c>
    </row>
    <row r="546" spans="2:4" ht="12.75">
      <c r="B546" s="55">
        <v>5</v>
      </c>
      <c r="C546" s="60" t="s">
        <v>9</v>
      </c>
      <c r="D546" s="66">
        <f>D545-D530/1000</f>
        <v>19.941460000000063</v>
      </c>
    </row>
    <row r="547" spans="2:4" ht="12.75">
      <c r="B547" s="69"/>
      <c r="C547" s="69"/>
      <c r="D547" s="69"/>
    </row>
    <row r="548" spans="2:4" ht="12.75">
      <c r="B548" s="70" t="s">
        <v>47</v>
      </c>
      <c r="C548" s="70"/>
      <c r="D548" s="70"/>
    </row>
    <row r="550" spans="2:4" ht="12.75">
      <c r="B550" s="53" t="s">
        <v>0</v>
      </c>
      <c r="C550" s="53"/>
      <c r="D550" s="53"/>
    </row>
    <row r="551" spans="2:4" ht="12.75">
      <c r="B551" s="53" t="s">
        <v>30</v>
      </c>
      <c r="C551" s="53"/>
      <c r="D551" s="53"/>
    </row>
    <row r="552" spans="2:4" ht="12.75">
      <c r="B552" s="53" t="s">
        <v>65</v>
      </c>
      <c r="C552" s="53"/>
      <c r="D552" s="53"/>
    </row>
    <row r="553" spans="2:4" ht="12.75">
      <c r="B553" s="54"/>
      <c r="C553" s="54" t="s">
        <v>3</v>
      </c>
      <c r="D553" s="55" t="s">
        <v>4</v>
      </c>
    </row>
    <row r="554" spans="2:4" ht="12.75">
      <c r="B554" s="55">
        <v>1</v>
      </c>
      <c r="C554" s="56" t="s">
        <v>5</v>
      </c>
      <c r="D554" s="54">
        <v>1818.48</v>
      </c>
    </row>
    <row r="555" spans="2:4" ht="12.75">
      <c r="B555" s="55">
        <v>2</v>
      </c>
      <c r="C555" s="55" t="s">
        <v>32</v>
      </c>
      <c r="D555" s="54"/>
    </row>
    <row r="556" spans="2:4" ht="12.75">
      <c r="B556" s="54"/>
      <c r="C556" s="54" t="s">
        <v>7</v>
      </c>
      <c r="D556" s="54"/>
    </row>
    <row r="557" spans="2:4" ht="12.75">
      <c r="B557" s="54"/>
      <c r="C557" s="54" t="s">
        <v>33</v>
      </c>
      <c r="D557" s="59">
        <v>751.92</v>
      </c>
    </row>
    <row r="558" spans="2:4" ht="12.75">
      <c r="B558" s="54"/>
      <c r="C558" s="54" t="s">
        <v>9</v>
      </c>
      <c r="D558" s="54">
        <f>D557-D556</f>
        <v>751.92</v>
      </c>
    </row>
    <row r="559" spans="2:4" ht="12.75">
      <c r="B559" s="55">
        <v>3</v>
      </c>
      <c r="C559" s="58" t="s">
        <v>6</v>
      </c>
      <c r="D559" s="54"/>
    </row>
    <row r="560" spans="2:4" ht="12.75">
      <c r="B560" s="55"/>
      <c r="C560" s="54" t="s">
        <v>7</v>
      </c>
      <c r="D560" s="59">
        <v>334960.58</v>
      </c>
    </row>
    <row r="561" spans="2:4" ht="12.75">
      <c r="B561" s="55"/>
      <c r="C561" s="54" t="s">
        <v>8</v>
      </c>
      <c r="D561" s="59">
        <v>341030.27</v>
      </c>
    </row>
    <row r="562" spans="2:4" ht="12.75">
      <c r="B562" s="55"/>
      <c r="C562" s="54" t="s">
        <v>9</v>
      </c>
      <c r="D562" s="59">
        <f>D561-D560</f>
        <v>6069.690000000002</v>
      </c>
    </row>
    <row r="563" spans="2:4" ht="12.75">
      <c r="B563" s="55">
        <v>4</v>
      </c>
      <c r="C563" s="60" t="s">
        <v>10</v>
      </c>
      <c r="D563" s="55" t="s">
        <v>11</v>
      </c>
    </row>
    <row r="564" spans="2:4" ht="12.75">
      <c r="B564" s="61" t="s">
        <v>14</v>
      </c>
      <c r="C564" s="61"/>
      <c r="D564" s="57">
        <v>45.22</v>
      </c>
    </row>
    <row r="565" spans="2:4" ht="12.75" customHeight="1">
      <c r="B565" s="62" t="s">
        <v>34</v>
      </c>
      <c r="C565" s="62"/>
      <c r="D565" s="55">
        <f>D566+D567+D568</f>
        <v>129.32000000000002</v>
      </c>
    </row>
    <row r="566" spans="2:4" ht="12.75">
      <c r="B566" s="54"/>
      <c r="C566" s="63" t="s">
        <v>35</v>
      </c>
      <c r="D566" s="59">
        <v>70.4</v>
      </c>
    </row>
    <row r="567" spans="2:4" ht="12.75">
      <c r="B567" s="54"/>
      <c r="C567" s="63" t="s">
        <v>36</v>
      </c>
      <c r="D567" s="64">
        <v>56.52</v>
      </c>
    </row>
    <row r="568" spans="2:4" ht="12.75">
      <c r="B568" s="61" t="s">
        <v>37</v>
      </c>
      <c r="C568" s="61"/>
      <c r="D568" s="72">
        <v>2.4</v>
      </c>
    </row>
    <row r="569" spans="2:4" ht="12.75" customHeight="1">
      <c r="B569" s="65" t="s">
        <v>38</v>
      </c>
      <c r="C569" s="65"/>
      <c r="D569" s="66">
        <f>D570+D572+D573+D571+D574</f>
        <v>89.98</v>
      </c>
    </row>
    <row r="570" spans="2:4" ht="12.75">
      <c r="B570" s="54"/>
      <c r="C570" s="63" t="s">
        <v>15</v>
      </c>
      <c r="D570" s="54">
        <f>50.77+10.25+4.46+6.57+1.79+0.46+2.71+1.5</f>
        <v>78.51</v>
      </c>
    </row>
    <row r="571" spans="2:4" ht="12.75">
      <c r="B571" s="54"/>
      <c r="C571" s="63" t="s">
        <v>39</v>
      </c>
      <c r="D571" s="59">
        <v>6.7</v>
      </c>
    </row>
    <row r="572" spans="2:4" ht="12.75">
      <c r="B572" s="54"/>
      <c r="C572" s="67" t="s">
        <v>40</v>
      </c>
      <c r="D572" s="59">
        <v>1.8</v>
      </c>
    </row>
    <row r="573" spans="2:4" ht="12.75">
      <c r="B573" s="54"/>
      <c r="C573" s="63" t="s">
        <v>41</v>
      </c>
      <c r="D573" s="54">
        <f>0.77</f>
        <v>0.77</v>
      </c>
    </row>
    <row r="574" spans="2:4" ht="12.75">
      <c r="B574" s="54"/>
      <c r="C574" s="63" t="s">
        <v>58</v>
      </c>
      <c r="D574" s="54">
        <v>2.2</v>
      </c>
    </row>
    <row r="575" spans="2:4" ht="12.75">
      <c r="B575" s="61" t="s">
        <v>19</v>
      </c>
      <c r="C575" s="61"/>
      <c r="D575" s="55">
        <v>10.23</v>
      </c>
    </row>
    <row r="576" spans="2:4" ht="12.75">
      <c r="B576" s="68" t="s">
        <v>42</v>
      </c>
      <c r="C576" s="68"/>
      <c r="D576" s="55">
        <f>27.82</f>
        <v>27.82</v>
      </c>
    </row>
    <row r="577" spans="2:4" ht="12.75">
      <c r="B577" s="54"/>
      <c r="C577" s="40" t="s">
        <v>21</v>
      </c>
      <c r="D577" s="66">
        <f>D564+D565+D569+D575+D576</f>
        <v>302.57000000000005</v>
      </c>
    </row>
    <row r="578" spans="2:4" ht="12.75">
      <c r="B578" s="55">
        <v>5</v>
      </c>
      <c r="C578" s="60" t="s">
        <v>9</v>
      </c>
      <c r="D578" s="66">
        <f>D577-D561/1000</f>
        <v>-38.46026999999998</v>
      </c>
    </row>
    <row r="579" spans="2:4" ht="12.75">
      <c r="B579" s="69"/>
      <c r="C579" s="69"/>
      <c r="D579" s="69"/>
    </row>
    <row r="580" spans="2:4" ht="12.75">
      <c r="B580" s="70" t="s">
        <v>47</v>
      </c>
      <c r="C580" s="70"/>
      <c r="D580" s="70"/>
    </row>
    <row r="582" spans="2:4" ht="12.75">
      <c r="B582" s="53" t="s">
        <v>0</v>
      </c>
      <c r="C582" s="53"/>
      <c r="D582" s="53"/>
    </row>
    <row r="583" spans="2:4" ht="12.75">
      <c r="B583" s="53" t="s">
        <v>30</v>
      </c>
      <c r="C583" s="53"/>
      <c r="D583" s="53"/>
    </row>
    <row r="584" spans="2:4" ht="12.75">
      <c r="B584" s="53" t="s">
        <v>66</v>
      </c>
      <c r="C584" s="53"/>
      <c r="D584" s="53"/>
    </row>
    <row r="585" spans="2:4" ht="12.75">
      <c r="B585" s="54"/>
      <c r="C585" s="54" t="s">
        <v>3</v>
      </c>
      <c r="D585" s="55" t="s">
        <v>4</v>
      </c>
    </row>
    <row r="586" spans="2:4" ht="12.75">
      <c r="B586" s="55">
        <v>1</v>
      </c>
      <c r="C586" s="56" t="s">
        <v>5</v>
      </c>
      <c r="D586" s="54">
        <v>1447.4</v>
      </c>
    </row>
    <row r="587" spans="2:4" ht="12.75">
      <c r="B587" s="55">
        <v>2</v>
      </c>
      <c r="C587" s="55" t="s">
        <v>32</v>
      </c>
      <c r="D587" s="54"/>
    </row>
    <row r="588" spans="2:4" ht="12.75">
      <c r="B588" s="54"/>
      <c r="C588" s="54" t="s">
        <v>7</v>
      </c>
      <c r="D588" s="54"/>
    </row>
    <row r="589" spans="2:4" ht="12.75">
      <c r="B589" s="54"/>
      <c r="C589" s="54" t="s">
        <v>33</v>
      </c>
      <c r="D589" s="59">
        <v>571.93</v>
      </c>
    </row>
    <row r="590" spans="2:4" ht="12.75">
      <c r="B590" s="54"/>
      <c r="C590" s="54" t="s">
        <v>9</v>
      </c>
      <c r="D590" s="54">
        <f>D589-D588</f>
        <v>571.93</v>
      </c>
    </row>
    <row r="591" spans="2:4" ht="12.75">
      <c r="B591" s="55">
        <v>3</v>
      </c>
      <c r="C591" s="58" t="s">
        <v>6</v>
      </c>
      <c r="D591" s="54"/>
    </row>
    <row r="592" spans="2:4" ht="12.75">
      <c r="B592" s="55"/>
      <c r="C592" s="54" t="s">
        <v>7</v>
      </c>
      <c r="D592" s="59">
        <v>266043.66</v>
      </c>
    </row>
    <row r="593" spans="2:4" ht="12.75">
      <c r="B593" s="55"/>
      <c r="C593" s="54" t="s">
        <v>8</v>
      </c>
      <c r="D593" s="59">
        <v>262271.42</v>
      </c>
    </row>
    <row r="594" spans="2:4" ht="12.75">
      <c r="B594" s="55"/>
      <c r="C594" s="54" t="s">
        <v>9</v>
      </c>
      <c r="D594" s="59">
        <f>D593-D592</f>
        <v>-3772.2399999999907</v>
      </c>
    </row>
    <row r="595" spans="2:4" ht="12.75">
      <c r="B595" s="55">
        <v>4</v>
      </c>
      <c r="C595" s="60" t="s">
        <v>10</v>
      </c>
      <c r="D595" s="55" t="s">
        <v>11</v>
      </c>
    </row>
    <row r="596" spans="2:4" ht="12.75">
      <c r="B596" s="61" t="s">
        <v>14</v>
      </c>
      <c r="C596" s="61"/>
      <c r="D596" s="57">
        <v>35.92</v>
      </c>
    </row>
    <row r="597" spans="2:4" ht="12.75" customHeight="1">
      <c r="B597" s="62" t="s">
        <v>34</v>
      </c>
      <c r="C597" s="62"/>
      <c r="D597" s="55">
        <f>D598+D599+D600</f>
        <v>156.34</v>
      </c>
    </row>
    <row r="598" spans="2:4" ht="12.75">
      <c r="B598" s="54"/>
      <c r="C598" s="63" t="s">
        <v>35</v>
      </c>
      <c r="D598" s="59">
        <v>56.03</v>
      </c>
    </row>
    <row r="599" spans="2:4" ht="12.75">
      <c r="B599" s="54"/>
      <c r="C599" s="63" t="s">
        <v>36</v>
      </c>
      <c r="D599" s="64">
        <v>94.31</v>
      </c>
    </row>
    <row r="600" spans="2:4" ht="12.75">
      <c r="B600" s="61" t="s">
        <v>37</v>
      </c>
      <c r="C600" s="61"/>
      <c r="D600" s="72">
        <v>6</v>
      </c>
    </row>
    <row r="601" spans="2:4" ht="12.75" customHeight="1">
      <c r="B601" s="65" t="s">
        <v>38</v>
      </c>
      <c r="C601" s="65"/>
      <c r="D601" s="66">
        <f>D602+D604+D605+D603</f>
        <v>77.60000000000001</v>
      </c>
    </row>
    <row r="602" spans="2:4" ht="12.75">
      <c r="B602" s="54"/>
      <c r="C602" s="63" t="s">
        <v>15</v>
      </c>
      <c r="D602" s="54">
        <f>42+8.48+3.69+5.44+1.62+1.42+0.37+4.8+1.43+1.2</f>
        <v>70.45</v>
      </c>
    </row>
    <row r="603" spans="2:4" ht="12.75">
      <c r="B603" s="54"/>
      <c r="C603" s="63" t="s">
        <v>39</v>
      </c>
      <c r="D603" s="59">
        <v>6.45</v>
      </c>
    </row>
    <row r="604" spans="2:4" ht="12.75">
      <c r="B604" s="54"/>
      <c r="C604" s="67" t="s">
        <v>40</v>
      </c>
      <c r="D604" s="59">
        <v>0</v>
      </c>
    </row>
    <row r="605" spans="2:4" ht="12.75">
      <c r="B605" s="54"/>
      <c r="C605" s="63" t="s">
        <v>41</v>
      </c>
      <c r="D605" s="54">
        <f>0.1+0.6</f>
        <v>0.7000000000000001</v>
      </c>
    </row>
    <row r="606" spans="2:4" ht="12.75">
      <c r="B606" s="61" t="s">
        <v>19</v>
      </c>
      <c r="C606" s="61"/>
      <c r="D606" s="55">
        <v>7.88</v>
      </c>
    </row>
    <row r="607" spans="2:4" ht="12.75">
      <c r="B607" s="68" t="s">
        <v>42</v>
      </c>
      <c r="C607" s="68"/>
      <c r="D607" s="55">
        <f>22.15+8.35+0.36</f>
        <v>30.86</v>
      </c>
    </row>
    <row r="608" spans="2:4" ht="12.75">
      <c r="B608" s="54"/>
      <c r="C608" s="40" t="s">
        <v>21</v>
      </c>
      <c r="D608" s="66">
        <f>D596+D597+D601+D606+D607</f>
        <v>308.6</v>
      </c>
    </row>
    <row r="609" spans="2:4" ht="12.75">
      <c r="B609" s="55">
        <v>5</v>
      </c>
      <c r="C609" s="60" t="s">
        <v>9</v>
      </c>
      <c r="D609" s="66">
        <f>D608-D593/1000</f>
        <v>46.328580000000045</v>
      </c>
    </row>
    <row r="610" spans="2:4" ht="12.75">
      <c r="B610" s="69"/>
      <c r="C610" s="69"/>
      <c r="D610" s="69"/>
    </row>
    <row r="611" spans="2:4" ht="12.75">
      <c r="B611" s="70" t="s">
        <v>47</v>
      </c>
      <c r="C611" s="70"/>
      <c r="D611" s="70"/>
    </row>
    <row r="613" spans="2:4" ht="12.75">
      <c r="B613" s="53" t="s">
        <v>0</v>
      </c>
      <c r="C613" s="53"/>
      <c r="D613" s="53"/>
    </row>
    <row r="614" spans="2:4" ht="12.75">
      <c r="B614" s="53" t="s">
        <v>30</v>
      </c>
      <c r="C614" s="53"/>
      <c r="D614" s="53"/>
    </row>
    <row r="615" spans="2:4" ht="12.75">
      <c r="B615" s="53" t="s">
        <v>67</v>
      </c>
      <c r="C615" s="53"/>
      <c r="D615" s="53"/>
    </row>
    <row r="616" spans="2:4" ht="12.75">
      <c r="B616" s="54"/>
      <c r="C616" s="54" t="s">
        <v>3</v>
      </c>
      <c r="D616" s="55" t="s">
        <v>4</v>
      </c>
    </row>
    <row r="617" spans="2:4" ht="12.75">
      <c r="B617" s="55">
        <v>1</v>
      </c>
      <c r="C617" s="56" t="s">
        <v>5</v>
      </c>
      <c r="D617" s="54">
        <v>880.46</v>
      </c>
    </row>
    <row r="618" spans="2:4" ht="12.75">
      <c r="B618" s="55">
        <v>2</v>
      </c>
      <c r="C618" s="55" t="s">
        <v>32</v>
      </c>
      <c r="D618" s="54"/>
    </row>
    <row r="619" spans="2:4" ht="12.75">
      <c r="B619" s="54"/>
      <c r="C619" s="54" t="s">
        <v>7</v>
      </c>
      <c r="D619" s="54"/>
    </row>
    <row r="620" spans="2:4" ht="12.75">
      <c r="B620" s="54"/>
      <c r="C620" s="54" t="s">
        <v>33</v>
      </c>
      <c r="D620" s="59">
        <v>871.47</v>
      </c>
    </row>
    <row r="621" spans="2:4" ht="12.75">
      <c r="B621" s="54"/>
      <c r="C621" s="54" t="s">
        <v>9</v>
      </c>
      <c r="D621" s="54">
        <f>D620-D619</f>
        <v>871.47</v>
      </c>
    </row>
    <row r="622" spans="2:4" ht="12.75">
      <c r="B622" s="55">
        <v>3</v>
      </c>
      <c r="C622" s="58" t="s">
        <v>6</v>
      </c>
      <c r="D622" s="54"/>
    </row>
    <row r="623" spans="2:4" ht="12.75">
      <c r="B623" s="55"/>
      <c r="C623" s="54" t="s">
        <v>7</v>
      </c>
      <c r="D623" s="59">
        <v>222162.9</v>
      </c>
    </row>
    <row r="624" spans="2:4" ht="12.75">
      <c r="B624" s="55"/>
      <c r="C624" s="54" t="s">
        <v>8</v>
      </c>
      <c r="D624" s="59">
        <v>233186.2</v>
      </c>
    </row>
    <row r="625" spans="2:4" ht="12.75">
      <c r="B625" s="55"/>
      <c r="C625" s="54" t="s">
        <v>9</v>
      </c>
      <c r="D625" s="59">
        <f>D624-D623</f>
        <v>11023.300000000017</v>
      </c>
    </row>
    <row r="626" spans="2:4" ht="12.75">
      <c r="B626" s="55">
        <v>4</v>
      </c>
      <c r="C626" s="60" t="s">
        <v>10</v>
      </c>
      <c r="D626" s="55" t="s">
        <v>11</v>
      </c>
    </row>
    <row r="627" spans="2:4" ht="12.75">
      <c r="B627" s="61" t="s">
        <v>14</v>
      </c>
      <c r="C627" s="61"/>
      <c r="D627" s="57">
        <v>30</v>
      </c>
    </row>
    <row r="628" spans="2:4" ht="12.75" customHeight="1">
      <c r="B628" s="62" t="s">
        <v>34</v>
      </c>
      <c r="C628" s="62"/>
      <c r="D628" s="55">
        <f>D629+D630+D631</f>
        <v>82.08000000000001</v>
      </c>
    </row>
    <row r="629" spans="2:4" ht="12.75">
      <c r="B629" s="54"/>
      <c r="C629" s="63" t="s">
        <v>35</v>
      </c>
      <c r="D629" s="59">
        <v>34.1</v>
      </c>
    </row>
    <row r="630" spans="2:4" ht="12.75">
      <c r="B630" s="54"/>
      <c r="C630" s="63" t="s">
        <v>36</v>
      </c>
      <c r="D630" s="64">
        <v>45.58</v>
      </c>
    </row>
    <row r="631" spans="2:4" ht="12.75">
      <c r="B631" s="61" t="s">
        <v>37</v>
      </c>
      <c r="C631" s="61"/>
      <c r="D631" s="72">
        <v>2.4</v>
      </c>
    </row>
    <row r="632" spans="2:4" ht="12.75" customHeight="1">
      <c r="B632" s="65" t="s">
        <v>38</v>
      </c>
      <c r="C632" s="65"/>
      <c r="D632" s="66">
        <f>D633+D635+D636+D634+D637</f>
        <v>29.66</v>
      </c>
    </row>
    <row r="633" spans="2:4" ht="12.75">
      <c r="B633" s="54"/>
      <c r="C633" s="63" t="s">
        <v>15</v>
      </c>
      <c r="D633" s="54">
        <f>16.41+3.31+1.44+2.12+0.79+0.2+1.29+0.75</f>
        <v>26.31</v>
      </c>
    </row>
    <row r="634" spans="2:4" ht="12.75">
      <c r="B634" s="54"/>
      <c r="C634" s="63" t="s">
        <v>39</v>
      </c>
      <c r="D634" s="59">
        <v>1.39</v>
      </c>
    </row>
    <row r="635" spans="2:4" ht="12.75">
      <c r="B635" s="54"/>
      <c r="C635" s="67" t="s">
        <v>40</v>
      </c>
      <c r="D635" s="59">
        <v>0.5</v>
      </c>
    </row>
    <row r="636" spans="2:4" ht="12.75">
      <c r="B636" s="54"/>
      <c r="C636" s="63" t="s">
        <v>41</v>
      </c>
      <c r="D636" s="54">
        <f>0.09+0.27</f>
        <v>0.36</v>
      </c>
    </row>
    <row r="637" spans="2:4" ht="12.75">
      <c r="B637" s="54"/>
      <c r="C637" s="63" t="s">
        <v>58</v>
      </c>
      <c r="D637" s="54">
        <v>1.1</v>
      </c>
    </row>
    <row r="638" spans="2:4" ht="12.75">
      <c r="B638" s="61" t="s">
        <v>19</v>
      </c>
      <c r="C638" s="61"/>
      <c r="D638" s="73">
        <v>7</v>
      </c>
    </row>
    <row r="639" spans="2:4" ht="12.75">
      <c r="B639" s="68" t="s">
        <v>42</v>
      </c>
      <c r="C639" s="68"/>
      <c r="D639" s="55">
        <f>13.47+5.08+0.22</f>
        <v>18.77</v>
      </c>
    </row>
    <row r="640" spans="2:4" ht="12.75">
      <c r="B640" s="54"/>
      <c r="C640" s="40" t="s">
        <v>21</v>
      </c>
      <c r="D640" s="66">
        <f>D627+D628+D632+D638+D639</f>
        <v>167.51000000000002</v>
      </c>
    </row>
    <row r="641" spans="2:4" ht="12.75">
      <c r="B641" s="55">
        <v>5</v>
      </c>
      <c r="C641" s="60" t="s">
        <v>9</v>
      </c>
      <c r="D641" s="66">
        <f>D640-D624/1000</f>
        <v>-65.6762</v>
      </c>
    </row>
    <row r="642" spans="2:4" ht="12.75">
      <c r="B642" s="69"/>
      <c r="C642" s="69"/>
      <c r="D642" s="69"/>
    </row>
    <row r="643" spans="2:4" ht="12.75">
      <c r="B643" s="70" t="s">
        <v>47</v>
      </c>
      <c r="C643" s="70"/>
      <c r="D643" s="70"/>
    </row>
    <row r="646" spans="2:4" ht="12.75">
      <c r="B646" s="53" t="s">
        <v>0</v>
      </c>
      <c r="C646" s="53"/>
      <c r="D646" s="53"/>
    </row>
    <row r="647" spans="2:4" ht="12.75">
      <c r="B647" s="53" t="s">
        <v>30</v>
      </c>
      <c r="C647" s="53"/>
      <c r="D647" s="53"/>
    </row>
    <row r="648" spans="2:4" ht="12.75">
      <c r="B648" s="53" t="s">
        <v>68</v>
      </c>
      <c r="C648" s="53"/>
      <c r="D648" s="53"/>
    </row>
    <row r="649" spans="2:4" ht="12.75">
      <c r="B649" s="54"/>
      <c r="C649" s="54" t="s">
        <v>3</v>
      </c>
      <c r="D649" s="55" t="s">
        <v>4</v>
      </c>
    </row>
    <row r="650" spans="2:4" ht="12.75">
      <c r="B650" s="55">
        <v>1</v>
      </c>
      <c r="C650" s="56" t="s">
        <v>5</v>
      </c>
      <c r="D650" s="54">
        <v>1944.48</v>
      </c>
    </row>
    <row r="651" spans="2:4" ht="12.75">
      <c r="B651" s="55">
        <v>2</v>
      </c>
      <c r="C651" s="55" t="s">
        <v>32</v>
      </c>
      <c r="D651" s="54"/>
    </row>
    <row r="652" spans="2:4" ht="12.75">
      <c r="B652" s="54"/>
      <c r="C652" s="54" t="s">
        <v>7</v>
      </c>
      <c r="D652" s="54"/>
    </row>
    <row r="653" spans="2:4" ht="12.75">
      <c r="B653" s="54"/>
      <c r="C653" s="54" t="s">
        <v>33</v>
      </c>
      <c r="D653" s="59">
        <v>8005.82</v>
      </c>
    </row>
    <row r="654" spans="2:4" ht="12.75">
      <c r="B654" s="54"/>
      <c r="C654" s="54" t="s">
        <v>9</v>
      </c>
      <c r="D654" s="54">
        <f>D653-D652</f>
        <v>8005.82</v>
      </c>
    </row>
    <row r="655" spans="2:4" ht="12.75">
      <c r="B655" s="55">
        <v>3</v>
      </c>
      <c r="C655" s="58" t="s">
        <v>6</v>
      </c>
      <c r="D655" s="54"/>
    </row>
    <row r="656" spans="2:4" ht="12.75">
      <c r="B656" s="55"/>
      <c r="C656" s="54" t="s">
        <v>7</v>
      </c>
      <c r="D656" s="59">
        <v>366600.69</v>
      </c>
    </row>
    <row r="657" spans="2:4" ht="12.75">
      <c r="B657" s="55"/>
      <c r="C657" s="54" t="s">
        <v>8</v>
      </c>
      <c r="D657" s="59">
        <v>407072.79</v>
      </c>
    </row>
    <row r="658" spans="2:4" ht="12.75">
      <c r="B658" s="55"/>
      <c r="C658" s="54" t="s">
        <v>9</v>
      </c>
      <c r="D658" s="59">
        <f>D657-D656</f>
        <v>40472.09999999998</v>
      </c>
    </row>
    <row r="659" spans="2:4" ht="12.75">
      <c r="B659" s="55">
        <v>4</v>
      </c>
      <c r="C659" s="60" t="s">
        <v>10</v>
      </c>
      <c r="D659" s="55" t="s">
        <v>11</v>
      </c>
    </row>
    <row r="660" spans="2:4" ht="12.75">
      <c r="B660" s="61" t="s">
        <v>14</v>
      </c>
      <c r="C660" s="61"/>
      <c r="D660" s="59">
        <v>49.49</v>
      </c>
    </row>
    <row r="661" spans="2:4" ht="12.75" customHeight="1">
      <c r="B661" s="62" t="s">
        <v>34</v>
      </c>
      <c r="C661" s="62"/>
      <c r="D661" s="55">
        <f>D662+D663+D664</f>
        <v>146.89999999999998</v>
      </c>
    </row>
    <row r="662" spans="2:4" ht="12.75">
      <c r="B662" s="54"/>
      <c r="C662" s="63" t="s">
        <v>35</v>
      </c>
      <c r="D662" s="59">
        <v>75.27</v>
      </c>
    </row>
    <row r="663" spans="2:4" ht="12.75">
      <c r="B663" s="54"/>
      <c r="C663" s="63" t="s">
        <v>36</v>
      </c>
      <c r="D663" s="64">
        <v>71.63</v>
      </c>
    </row>
    <row r="664" spans="2:4" ht="12.75">
      <c r="B664" s="61" t="s">
        <v>37</v>
      </c>
      <c r="C664" s="61"/>
      <c r="D664" s="72">
        <v>0</v>
      </c>
    </row>
    <row r="665" spans="2:4" ht="12.75" customHeight="1">
      <c r="B665" s="65" t="s">
        <v>38</v>
      </c>
      <c r="C665" s="65"/>
      <c r="D665" s="66">
        <f>D666+D668+D669+D667</f>
        <v>159.158</v>
      </c>
    </row>
    <row r="666" spans="2:4" ht="12.75">
      <c r="B666" s="54"/>
      <c r="C666" s="63" t="s">
        <v>15</v>
      </c>
      <c r="D666" s="54">
        <f>99.6+20.1+8.75+12.9+7.1+1.91+0.5+1.57+1.82</f>
        <v>154.24999999999997</v>
      </c>
    </row>
    <row r="667" spans="2:4" ht="12.75">
      <c r="B667" s="54"/>
      <c r="C667" s="63" t="s">
        <v>39</v>
      </c>
      <c r="D667" s="59">
        <v>3.93</v>
      </c>
    </row>
    <row r="668" spans="2:4" ht="12.75">
      <c r="B668" s="54"/>
      <c r="C668" s="67" t="s">
        <v>40</v>
      </c>
      <c r="D668" s="59">
        <v>0</v>
      </c>
    </row>
    <row r="669" spans="2:4" ht="12.75">
      <c r="B669" s="54"/>
      <c r="C669" s="63" t="s">
        <v>41</v>
      </c>
      <c r="D669" s="57">
        <f>0.178+0.8</f>
        <v>0.978</v>
      </c>
    </row>
    <row r="670" spans="2:4" ht="12.75">
      <c r="B670" s="61" t="s">
        <v>19</v>
      </c>
      <c r="C670" s="61"/>
      <c r="D670" s="73">
        <f>12.2</f>
        <v>12.2</v>
      </c>
    </row>
    <row r="671" spans="2:4" ht="12.75">
      <c r="B671" s="68" t="s">
        <v>42</v>
      </c>
      <c r="C671" s="68"/>
      <c r="D671" s="55">
        <f>29.7+11.2+0.49</f>
        <v>41.39</v>
      </c>
    </row>
    <row r="672" spans="2:4" ht="12.75">
      <c r="B672" s="54"/>
      <c r="C672" s="40" t="s">
        <v>21</v>
      </c>
      <c r="D672" s="66">
        <f>D660+D661+D665+D670+D671</f>
        <v>409.138</v>
      </c>
    </row>
    <row r="673" spans="2:4" ht="12.75">
      <c r="B673" s="55">
        <v>5</v>
      </c>
      <c r="C673" s="60" t="s">
        <v>9</v>
      </c>
      <c r="D673" s="66">
        <f>D672-D657/1000</f>
        <v>2.065209999999979</v>
      </c>
    </row>
    <row r="674" spans="2:4" ht="12.75">
      <c r="B674" s="69"/>
      <c r="C674" s="69"/>
      <c r="D674" s="69"/>
    </row>
    <row r="675" spans="2:4" ht="12.75">
      <c r="B675" s="70" t="s">
        <v>47</v>
      </c>
      <c r="C675" s="70"/>
      <c r="D675" s="70"/>
    </row>
    <row r="677" spans="2:4" ht="12.75">
      <c r="B677" s="53" t="s">
        <v>0</v>
      </c>
      <c r="C677" s="53"/>
      <c r="D677" s="53"/>
    </row>
    <row r="678" spans="2:4" ht="12.75">
      <c r="B678" s="53" t="s">
        <v>30</v>
      </c>
      <c r="C678" s="53"/>
      <c r="D678" s="53"/>
    </row>
    <row r="679" spans="2:4" ht="12.75">
      <c r="B679" s="53" t="s">
        <v>69</v>
      </c>
      <c r="C679" s="53"/>
      <c r="D679" s="53"/>
    </row>
    <row r="680" spans="2:4" ht="12.75">
      <c r="B680" s="54"/>
      <c r="C680" s="54" t="s">
        <v>3</v>
      </c>
      <c r="D680" s="55" t="s">
        <v>4</v>
      </c>
    </row>
    <row r="681" spans="2:4" ht="12.75">
      <c r="B681" s="55">
        <v>1</v>
      </c>
      <c r="C681" s="56" t="s">
        <v>5</v>
      </c>
      <c r="D681" s="54">
        <v>6023.85</v>
      </c>
    </row>
    <row r="682" spans="2:4" ht="12.75">
      <c r="B682" s="55">
        <v>2</v>
      </c>
      <c r="C682" s="58" t="s">
        <v>53</v>
      </c>
      <c r="D682" s="54"/>
    </row>
    <row r="683" spans="2:4" ht="12.75">
      <c r="B683" s="55"/>
      <c r="C683" s="54" t="s">
        <v>7</v>
      </c>
      <c r="D683" s="59">
        <v>1150141.06</v>
      </c>
    </row>
    <row r="684" spans="2:4" ht="12.75">
      <c r="B684" s="55"/>
      <c r="C684" s="54" t="s">
        <v>8</v>
      </c>
      <c r="D684" s="59">
        <v>1100506.49</v>
      </c>
    </row>
    <row r="685" spans="2:4" ht="12.75">
      <c r="B685" s="55"/>
      <c r="C685" s="54" t="s">
        <v>9</v>
      </c>
      <c r="D685" s="59">
        <f>D684-D683</f>
        <v>-49634.570000000065</v>
      </c>
    </row>
    <row r="686" spans="2:4" ht="12.75">
      <c r="B686" s="55">
        <v>3</v>
      </c>
      <c r="C686" s="60" t="s">
        <v>10</v>
      </c>
      <c r="D686" s="55" t="s">
        <v>11</v>
      </c>
    </row>
    <row r="687" spans="2:4" ht="12.75">
      <c r="B687" s="61" t="s">
        <v>14</v>
      </c>
      <c r="C687" s="61"/>
      <c r="D687" s="57">
        <v>155.27</v>
      </c>
    </row>
    <row r="688" spans="2:4" ht="12.75" customHeight="1">
      <c r="B688" s="62" t="s">
        <v>34</v>
      </c>
      <c r="C688" s="62"/>
      <c r="D688" s="55">
        <f>D689+D690+D691</f>
        <v>473.2</v>
      </c>
    </row>
    <row r="689" spans="2:4" ht="12.75">
      <c r="B689" s="54"/>
      <c r="C689" s="63" t="s">
        <v>35</v>
      </c>
      <c r="D689" s="59">
        <v>233.2</v>
      </c>
    </row>
    <row r="690" spans="2:4" ht="12.75">
      <c r="B690" s="54"/>
      <c r="C690" s="63" t="s">
        <v>36</v>
      </c>
      <c r="D690" s="72">
        <v>240</v>
      </c>
    </row>
    <row r="691" spans="2:4" ht="12.75">
      <c r="B691" s="61" t="s">
        <v>37</v>
      </c>
      <c r="C691" s="61"/>
      <c r="D691" s="72">
        <v>0</v>
      </c>
    </row>
    <row r="692" spans="2:4" ht="12.75" customHeight="1">
      <c r="B692" s="65" t="s">
        <v>38</v>
      </c>
      <c r="C692" s="65"/>
      <c r="D692" s="66">
        <f>D693+D695+D696+D694</f>
        <v>256.37</v>
      </c>
    </row>
    <row r="693" spans="2:4" ht="12.75">
      <c r="B693" s="54"/>
      <c r="C693" s="63" t="s">
        <v>15</v>
      </c>
      <c r="D693" s="54">
        <f>148+29.9+13+19.1+5.92+1.53+3.6+6.14+4.9</f>
        <v>232.08999999999997</v>
      </c>
    </row>
    <row r="694" spans="2:4" ht="12.75">
      <c r="B694" s="54"/>
      <c r="C694" s="63" t="s">
        <v>39</v>
      </c>
      <c r="D694" s="59">
        <v>14.07</v>
      </c>
    </row>
    <row r="695" spans="2:4" ht="12.75">
      <c r="B695" s="54"/>
      <c r="C695" s="67" t="s">
        <v>40</v>
      </c>
      <c r="D695" s="59">
        <v>7.11</v>
      </c>
    </row>
    <row r="696" spans="2:4" ht="12.75">
      <c r="B696" s="54"/>
      <c r="C696" s="63" t="s">
        <v>41</v>
      </c>
      <c r="D696" s="59">
        <f>0.55+2.55</f>
        <v>3.0999999999999996</v>
      </c>
    </row>
    <row r="697" spans="2:4" ht="12.75">
      <c r="B697" s="61" t="s">
        <v>19</v>
      </c>
      <c r="C697" s="61"/>
      <c r="D697" s="73">
        <v>33.01</v>
      </c>
    </row>
    <row r="698" spans="2:4" ht="12.75">
      <c r="B698" s="68" t="s">
        <v>42</v>
      </c>
      <c r="C698" s="68"/>
      <c r="D698" s="55">
        <f>92.2+34.73+1.51</f>
        <v>128.44</v>
      </c>
    </row>
    <row r="699" spans="2:4" ht="12.75">
      <c r="B699" s="68" t="s">
        <v>54</v>
      </c>
      <c r="C699" s="68"/>
      <c r="D699" s="55">
        <v>33.1</v>
      </c>
    </row>
    <row r="700" spans="2:4" ht="12.75">
      <c r="B700" s="54"/>
      <c r="C700" s="40" t="s">
        <v>21</v>
      </c>
      <c r="D700" s="66">
        <f>D687+D688+D692+D697+D698+D699</f>
        <v>1079.3899999999999</v>
      </c>
    </row>
    <row r="701" spans="2:4" ht="12.75">
      <c r="B701" s="55">
        <v>4</v>
      </c>
      <c r="C701" s="60" t="s">
        <v>9</v>
      </c>
      <c r="D701" s="66">
        <f>D700-D684/1000</f>
        <v>-21.116490000000113</v>
      </c>
    </row>
    <row r="702" spans="2:4" ht="12.75">
      <c r="B702" s="69"/>
      <c r="C702" s="69"/>
      <c r="D702" s="69"/>
    </row>
    <row r="703" spans="2:4" ht="12.75">
      <c r="B703" s="70" t="s">
        <v>47</v>
      </c>
      <c r="C703" s="70"/>
      <c r="D703" s="70"/>
    </row>
    <row r="705" spans="2:4" ht="12.75">
      <c r="B705" s="53" t="s">
        <v>0</v>
      </c>
      <c r="C705" s="53"/>
      <c r="D705" s="53"/>
    </row>
    <row r="706" spans="2:4" ht="12.75">
      <c r="B706" s="53" t="s">
        <v>30</v>
      </c>
      <c r="C706" s="53"/>
      <c r="D706" s="53"/>
    </row>
    <row r="707" spans="2:4" ht="12.75">
      <c r="B707" s="53" t="s">
        <v>70</v>
      </c>
      <c r="C707" s="53"/>
      <c r="D707" s="53"/>
    </row>
    <row r="708" spans="2:4" ht="12.75">
      <c r="B708" s="54"/>
      <c r="C708" s="54" t="s">
        <v>3</v>
      </c>
      <c r="D708" s="55" t="s">
        <v>4</v>
      </c>
    </row>
    <row r="709" spans="2:4" ht="12.75">
      <c r="B709" s="55">
        <v>1</v>
      </c>
      <c r="C709" s="56" t="s">
        <v>5</v>
      </c>
      <c r="D709" s="54">
        <v>4527.7</v>
      </c>
    </row>
    <row r="710" spans="2:4" ht="12.75">
      <c r="B710" s="55">
        <v>2</v>
      </c>
      <c r="C710" s="55" t="s">
        <v>32</v>
      </c>
      <c r="D710" s="54"/>
    </row>
    <row r="711" spans="2:4" ht="12.75">
      <c r="B711" s="54"/>
      <c r="C711" s="54" t="s">
        <v>7</v>
      </c>
      <c r="D711" s="54"/>
    </row>
    <row r="712" spans="2:4" ht="12.75">
      <c r="B712" s="54"/>
      <c r="C712" s="54" t="s">
        <v>33</v>
      </c>
      <c r="D712" s="59">
        <v>385.3</v>
      </c>
    </row>
    <row r="713" spans="2:4" ht="12.75">
      <c r="B713" s="54"/>
      <c r="C713" s="54" t="s">
        <v>9</v>
      </c>
      <c r="D713" s="59">
        <f>D712-D711</f>
        <v>385.3</v>
      </c>
    </row>
    <row r="714" spans="2:4" ht="12.75">
      <c r="B714" s="55">
        <v>3</v>
      </c>
      <c r="C714" s="58" t="s">
        <v>6</v>
      </c>
      <c r="D714" s="54"/>
    </row>
    <row r="715" spans="2:4" ht="12.75">
      <c r="B715" s="55"/>
      <c r="C715" s="54" t="s">
        <v>7</v>
      </c>
      <c r="D715" s="59">
        <v>836341.02</v>
      </c>
    </row>
    <row r="716" spans="2:4" ht="12.75">
      <c r="B716" s="55"/>
      <c r="C716" s="54" t="s">
        <v>8</v>
      </c>
      <c r="D716" s="59">
        <v>807155.39</v>
      </c>
    </row>
    <row r="717" spans="2:4" ht="12.75">
      <c r="B717" s="55"/>
      <c r="C717" s="54" t="s">
        <v>9</v>
      </c>
      <c r="D717" s="59">
        <f>D716-D715</f>
        <v>-29185.630000000005</v>
      </c>
    </row>
    <row r="718" spans="2:4" ht="12.75">
      <c r="B718" s="55">
        <v>4</v>
      </c>
      <c r="C718" s="60" t="s">
        <v>10</v>
      </c>
      <c r="D718" s="55" t="s">
        <v>11</v>
      </c>
    </row>
    <row r="719" spans="2:4" ht="12.75">
      <c r="B719" s="61" t="s">
        <v>14</v>
      </c>
      <c r="C719" s="61"/>
      <c r="D719" s="59">
        <v>113</v>
      </c>
    </row>
    <row r="720" spans="2:4" ht="12.75" customHeight="1">
      <c r="B720" s="62" t="s">
        <v>34</v>
      </c>
      <c r="C720" s="62"/>
      <c r="D720" s="55">
        <f>D721+D722+D723</f>
        <v>311.2</v>
      </c>
    </row>
    <row r="721" spans="2:4" ht="12.75">
      <c r="B721" s="54"/>
      <c r="C721" s="63" t="s">
        <v>35</v>
      </c>
      <c r="D721" s="59">
        <v>175.3</v>
      </c>
    </row>
    <row r="722" spans="2:4" ht="12.75">
      <c r="B722" s="54"/>
      <c r="C722" s="63" t="s">
        <v>36</v>
      </c>
      <c r="D722" s="64">
        <v>134.1</v>
      </c>
    </row>
    <row r="723" spans="2:4" ht="12.75">
      <c r="B723" s="61" t="s">
        <v>37</v>
      </c>
      <c r="C723" s="61"/>
      <c r="D723" s="72">
        <v>1.8</v>
      </c>
    </row>
    <row r="724" spans="2:4" ht="12.75" customHeight="1">
      <c r="B724" s="65" t="s">
        <v>38</v>
      </c>
      <c r="C724" s="65"/>
      <c r="D724" s="66">
        <f>D725+D727+D728+D726</f>
        <v>251.88000000000002</v>
      </c>
    </row>
    <row r="725" spans="2:4" ht="12.75">
      <c r="B725" s="54"/>
      <c r="C725" s="63" t="s">
        <v>15</v>
      </c>
      <c r="D725" s="54">
        <f>154.37+31.18+13.56+19.98+0.4+4.4+1.1+4.5+3.7</f>
        <v>233.19</v>
      </c>
    </row>
    <row r="726" spans="2:4" ht="12.75">
      <c r="B726" s="54"/>
      <c r="C726" s="63" t="s">
        <v>39</v>
      </c>
      <c r="D726" s="59">
        <v>13.46</v>
      </c>
    </row>
    <row r="727" spans="2:4" ht="12.75">
      <c r="B727" s="54"/>
      <c r="C727" s="67" t="s">
        <v>40</v>
      </c>
      <c r="D727" s="59">
        <v>2.9</v>
      </c>
    </row>
    <row r="728" spans="2:4" ht="12.75">
      <c r="B728" s="54"/>
      <c r="C728" s="63" t="s">
        <v>41</v>
      </c>
      <c r="D728" s="57">
        <f>0.42+1.91</f>
        <v>2.33</v>
      </c>
    </row>
    <row r="729" spans="2:4" ht="12.75">
      <c r="B729" s="61" t="s">
        <v>19</v>
      </c>
      <c r="C729" s="61"/>
      <c r="D729" s="73">
        <v>24.21</v>
      </c>
    </row>
    <row r="730" spans="2:4" ht="12.75">
      <c r="B730" s="68" t="s">
        <v>42</v>
      </c>
      <c r="C730" s="68"/>
      <c r="D730" s="55">
        <f>69.3+26.1+1.14</f>
        <v>96.54</v>
      </c>
    </row>
    <row r="731" spans="2:4" ht="12.75">
      <c r="B731" s="54"/>
      <c r="C731" s="40" t="s">
        <v>21</v>
      </c>
      <c r="D731" s="66">
        <f>D719+D720+D724+D729+D730</f>
        <v>796.83</v>
      </c>
    </row>
    <row r="732" spans="2:4" ht="12.75">
      <c r="B732" s="55">
        <v>5</v>
      </c>
      <c r="C732" s="60" t="s">
        <v>9</v>
      </c>
      <c r="D732" s="66">
        <f>D731-D716/1000</f>
        <v>-10.32538999999997</v>
      </c>
    </row>
    <row r="733" spans="2:4" ht="12.75">
      <c r="B733" s="69"/>
      <c r="C733" s="69"/>
      <c r="D733" s="69"/>
    </row>
    <row r="734" spans="2:4" ht="12.75">
      <c r="B734" s="70" t="s">
        <v>47</v>
      </c>
      <c r="C734" s="70"/>
      <c r="D734" s="70"/>
    </row>
    <row r="736" spans="2:4" ht="12.75">
      <c r="B736" s="53" t="s">
        <v>0</v>
      </c>
      <c r="C736" s="53"/>
      <c r="D736" s="53"/>
    </row>
    <row r="737" spans="2:4" ht="12.75">
      <c r="B737" s="53" t="s">
        <v>30</v>
      </c>
      <c r="C737" s="53"/>
      <c r="D737" s="53"/>
    </row>
    <row r="738" spans="2:4" ht="12.75">
      <c r="B738" s="53" t="s">
        <v>71</v>
      </c>
      <c r="C738" s="53"/>
      <c r="D738" s="53"/>
    </row>
    <row r="739" spans="2:4" ht="12.75">
      <c r="B739" s="54"/>
      <c r="C739" s="54" t="s">
        <v>3</v>
      </c>
      <c r="D739" s="55" t="s">
        <v>4</v>
      </c>
    </row>
    <row r="740" spans="2:4" ht="12.75">
      <c r="B740" s="55">
        <v>1</v>
      </c>
      <c r="C740" s="56" t="s">
        <v>5</v>
      </c>
      <c r="D740" s="54">
        <v>4529.3</v>
      </c>
    </row>
    <row r="741" spans="2:4" ht="12.75">
      <c r="B741" s="55">
        <v>2</v>
      </c>
      <c r="C741" s="55" t="s">
        <v>32</v>
      </c>
      <c r="D741" s="54"/>
    </row>
    <row r="742" spans="2:4" ht="12.75">
      <c r="B742" s="54"/>
      <c r="C742" s="54" t="s">
        <v>7</v>
      </c>
      <c r="D742" s="54"/>
    </row>
    <row r="743" spans="2:4" ht="12.75">
      <c r="B743" s="54"/>
      <c r="C743" s="54" t="s">
        <v>33</v>
      </c>
      <c r="D743" s="59">
        <v>6952.02</v>
      </c>
    </row>
    <row r="744" spans="2:4" ht="12.75">
      <c r="B744" s="54"/>
      <c r="C744" s="54" t="s">
        <v>9</v>
      </c>
      <c r="D744" s="54">
        <f>D743-D742</f>
        <v>6952.02</v>
      </c>
    </row>
    <row r="745" spans="2:4" ht="12.75">
      <c r="B745" s="55">
        <v>3</v>
      </c>
      <c r="C745" s="58" t="s">
        <v>6</v>
      </c>
      <c r="D745" s="54"/>
    </row>
    <row r="746" spans="2:4" ht="12.75">
      <c r="B746" s="55"/>
      <c r="C746" s="54" t="s">
        <v>7</v>
      </c>
      <c r="D746" s="59">
        <v>834303.31</v>
      </c>
    </row>
    <row r="747" spans="2:4" ht="12.75">
      <c r="B747" s="55"/>
      <c r="C747" s="54" t="s">
        <v>8</v>
      </c>
      <c r="D747" s="59">
        <v>815781.59</v>
      </c>
    </row>
    <row r="748" spans="2:4" ht="12.75">
      <c r="B748" s="55"/>
      <c r="C748" s="54" t="s">
        <v>9</v>
      </c>
      <c r="D748" s="59">
        <f>D747-D746</f>
        <v>-18521.72000000009</v>
      </c>
    </row>
    <row r="749" spans="2:4" ht="12.75">
      <c r="B749" s="55">
        <v>4</v>
      </c>
      <c r="C749" s="60" t="s">
        <v>10</v>
      </c>
      <c r="D749" s="55" t="s">
        <v>11</v>
      </c>
    </row>
    <row r="750" spans="2:4" ht="12.75">
      <c r="B750" s="61" t="s">
        <v>14</v>
      </c>
      <c r="C750" s="61"/>
      <c r="D750" s="59">
        <v>112.6</v>
      </c>
    </row>
    <row r="751" spans="2:4" ht="12.75" customHeight="1">
      <c r="B751" s="62" t="s">
        <v>34</v>
      </c>
      <c r="C751" s="62"/>
      <c r="D751" s="55">
        <f>D752+D753+D754</f>
        <v>758.12</v>
      </c>
    </row>
    <row r="752" spans="2:4" ht="12.75">
      <c r="B752" s="54"/>
      <c r="C752" s="63" t="s">
        <v>35</v>
      </c>
      <c r="D752" s="59">
        <v>175.3</v>
      </c>
    </row>
    <row r="753" spans="2:4" ht="12.75">
      <c r="B753" s="54"/>
      <c r="C753" s="63" t="s">
        <v>36</v>
      </c>
      <c r="D753" s="64">
        <v>574.42</v>
      </c>
    </row>
    <row r="754" spans="2:4" ht="12.75">
      <c r="B754" s="61" t="s">
        <v>37</v>
      </c>
      <c r="C754" s="61"/>
      <c r="D754" s="72">
        <v>8.4</v>
      </c>
    </row>
    <row r="755" spans="2:4" ht="12.75" customHeight="1">
      <c r="B755" s="65" t="s">
        <v>38</v>
      </c>
      <c r="C755" s="65"/>
      <c r="D755" s="66">
        <f>D756+D758+D759+D757</f>
        <v>253.17000000000002</v>
      </c>
    </row>
    <row r="756" spans="2:4" ht="12.75">
      <c r="B756" s="54"/>
      <c r="C756" s="63" t="s">
        <v>15</v>
      </c>
      <c r="D756" s="54">
        <f>152.3+30.8+13.4+19.7+4.45+1.15+1.86+3.7</f>
        <v>227.36</v>
      </c>
    </row>
    <row r="757" spans="2:4" ht="12.75">
      <c r="B757" s="54"/>
      <c r="C757" s="63" t="s">
        <v>39</v>
      </c>
      <c r="D757" s="59">
        <v>15.9</v>
      </c>
    </row>
    <row r="758" spans="2:4" ht="12.75">
      <c r="B758" s="54"/>
      <c r="C758" s="67" t="s">
        <v>40</v>
      </c>
      <c r="D758" s="59">
        <v>0</v>
      </c>
    </row>
    <row r="759" spans="2:4" ht="12.75">
      <c r="B759" s="54"/>
      <c r="C759" s="63" t="s">
        <v>41</v>
      </c>
      <c r="D759" s="57">
        <f>0.42+1.91+7.58</f>
        <v>9.91</v>
      </c>
    </row>
    <row r="760" spans="2:4" ht="12.75">
      <c r="B760" s="61" t="s">
        <v>19</v>
      </c>
      <c r="C760" s="61"/>
      <c r="D760" s="73">
        <v>24.5</v>
      </c>
    </row>
    <row r="761" spans="2:4" ht="12.75">
      <c r="B761" s="68" t="s">
        <v>42</v>
      </c>
      <c r="C761" s="68"/>
      <c r="D761" s="55">
        <f>69.3+26.1+1.14</f>
        <v>96.54</v>
      </c>
    </row>
    <row r="762" spans="2:4" ht="12.75">
      <c r="B762" s="54"/>
      <c r="C762" s="40" t="s">
        <v>21</v>
      </c>
      <c r="D762" s="66">
        <f>D750+D751+D755+D760+D761</f>
        <v>1244.93</v>
      </c>
    </row>
    <row r="763" spans="2:4" ht="12.75">
      <c r="B763" s="55">
        <v>5</v>
      </c>
      <c r="C763" s="60" t="s">
        <v>9</v>
      </c>
      <c r="D763" s="66">
        <f>D762-D747/1000</f>
        <v>429.1484100000001</v>
      </c>
    </row>
    <row r="764" spans="2:4" ht="12.75">
      <c r="B764" s="69"/>
      <c r="C764" s="69"/>
      <c r="D764" s="69"/>
    </row>
    <row r="765" spans="2:4" ht="12.75">
      <c r="B765" s="70" t="s">
        <v>47</v>
      </c>
      <c r="C765" s="70"/>
      <c r="D765" s="70"/>
    </row>
    <row r="767" spans="2:4" ht="12.75">
      <c r="B767" s="53" t="s">
        <v>0</v>
      </c>
      <c r="C767" s="53"/>
      <c r="D767" s="53"/>
    </row>
    <row r="768" spans="2:4" ht="12.75">
      <c r="B768" s="53" t="s">
        <v>30</v>
      </c>
      <c r="C768" s="53"/>
      <c r="D768" s="53"/>
    </row>
    <row r="769" spans="2:4" ht="12.75">
      <c r="B769" s="53" t="s">
        <v>72</v>
      </c>
      <c r="C769" s="53"/>
      <c r="D769" s="53"/>
    </row>
    <row r="770" spans="2:4" ht="12.75">
      <c r="B770" s="54"/>
      <c r="C770" s="54" t="s">
        <v>3</v>
      </c>
      <c r="D770" s="55" t="s">
        <v>4</v>
      </c>
    </row>
    <row r="771" spans="2:4" ht="12.75">
      <c r="B771" s="55">
        <v>1</v>
      </c>
      <c r="C771" s="56" t="s">
        <v>5</v>
      </c>
      <c r="D771" s="54">
        <v>3763.7</v>
      </c>
    </row>
    <row r="772" spans="2:4" ht="12.75">
      <c r="B772" s="55">
        <v>2</v>
      </c>
      <c r="C772" s="55" t="s">
        <v>32</v>
      </c>
      <c r="D772" s="54"/>
    </row>
    <row r="773" spans="2:4" ht="12.75">
      <c r="B773" s="54"/>
      <c r="C773" s="54" t="s">
        <v>7</v>
      </c>
      <c r="D773" s="54"/>
    </row>
    <row r="774" spans="2:4" ht="12.75">
      <c r="B774" s="54"/>
      <c r="C774" s="54" t="s">
        <v>33</v>
      </c>
      <c r="D774" s="59">
        <v>6981.58</v>
      </c>
    </row>
    <row r="775" spans="2:4" ht="12.75">
      <c r="B775" s="54"/>
      <c r="C775" s="54" t="s">
        <v>9</v>
      </c>
      <c r="D775" s="54">
        <f>D774-D773</f>
        <v>6981.58</v>
      </c>
    </row>
    <row r="776" spans="2:4" ht="12.75">
      <c r="B776" s="55">
        <v>3</v>
      </c>
      <c r="C776" s="58" t="s">
        <v>6</v>
      </c>
      <c r="D776" s="54"/>
    </row>
    <row r="777" spans="2:4" ht="12.75">
      <c r="B777" s="55"/>
      <c r="C777" s="54" t="s">
        <v>7</v>
      </c>
      <c r="D777" s="59">
        <v>693306.71</v>
      </c>
    </row>
    <row r="778" spans="2:4" ht="12.75">
      <c r="B778" s="55"/>
      <c r="C778" s="54" t="s">
        <v>8</v>
      </c>
      <c r="D778" s="59">
        <v>678673.99</v>
      </c>
    </row>
    <row r="779" spans="2:4" ht="12.75">
      <c r="B779" s="55"/>
      <c r="C779" s="54" t="s">
        <v>9</v>
      </c>
      <c r="D779" s="59">
        <f>D778-D777</f>
        <v>-14632.719999999972</v>
      </c>
    </row>
    <row r="780" spans="2:4" ht="12.75">
      <c r="B780" s="55">
        <v>4</v>
      </c>
      <c r="C780" s="60" t="s">
        <v>10</v>
      </c>
      <c r="D780" s="55" t="s">
        <v>11</v>
      </c>
    </row>
    <row r="781" spans="2:4" ht="12.75">
      <c r="B781" s="61" t="s">
        <v>14</v>
      </c>
      <c r="C781" s="61"/>
      <c r="D781" s="59">
        <v>93.6</v>
      </c>
    </row>
    <row r="782" spans="2:4" ht="12.75" customHeight="1">
      <c r="B782" s="62" t="s">
        <v>34</v>
      </c>
      <c r="C782" s="62"/>
      <c r="D782" s="55">
        <f>D783+D784+D785</f>
        <v>365.02</v>
      </c>
    </row>
    <row r="783" spans="2:4" ht="12.75">
      <c r="B783" s="54"/>
      <c r="C783" s="63" t="s">
        <v>35</v>
      </c>
      <c r="D783" s="59">
        <v>145.7</v>
      </c>
    </row>
    <row r="784" spans="2:4" ht="12.75">
      <c r="B784" s="54"/>
      <c r="C784" s="63" t="s">
        <v>36</v>
      </c>
      <c r="D784" s="64">
        <v>217.72</v>
      </c>
    </row>
    <row r="785" spans="2:4" ht="12.75">
      <c r="B785" s="61" t="s">
        <v>37</v>
      </c>
      <c r="C785" s="61"/>
      <c r="D785" s="72">
        <v>1.6</v>
      </c>
    </row>
    <row r="786" spans="2:4" ht="12.75" customHeight="1">
      <c r="B786" s="65" t="s">
        <v>38</v>
      </c>
      <c r="C786" s="65"/>
      <c r="D786" s="66">
        <f>D787+D789+D790+D788</f>
        <v>240.50999999999996</v>
      </c>
    </row>
    <row r="787" spans="2:4" ht="12.75">
      <c r="B787" s="54"/>
      <c r="C787" s="63" t="s">
        <v>15</v>
      </c>
      <c r="D787" s="54">
        <f>153+30.9+13.44+19.8+3.7+0.96+1.73+2.92</f>
        <v>226.45</v>
      </c>
    </row>
    <row r="788" spans="2:4" ht="12.75">
      <c r="B788" s="54"/>
      <c r="C788" s="63" t="s">
        <v>39</v>
      </c>
      <c r="D788" s="59">
        <v>8.41</v>
      </c>
    </row>
    <row r="789" spans="2:4" ht="12.75">
      <c r="B789" s="54"/>
      <c r="C789" s="67" t="s">
        <v>40</v>
      </c>
      <c r="D789" s="59">
        <v>3.7</v>
      </c>
    </row>
    <row r="790" spans="2:4" ht="12.75">
      <c r="B790" s="54"/>
      <c r="C790" s="63" t="s">
        <v>41</v>
      </c>
      <c r="D790" s="57">
        <f>0.35+1.6</f>
        <v>1.9500000000000002</v>
      </c>
    </row>
    <row r="791" spans="2:4" ht="12.75">
      <c r="B791" s="61" t="s">
        <v>19</v>
      </c>
      <c r="C791" s="61"/>
      <c r="D791" s="73">
        <v>20.41</v>
      </c>
    </row>
    <row r="792" spans="2:4" ht="12.75">
      <c r="B792" s="68" t="s">
        <v>42</v>
      </c>
      <c r="C792" s="68"/>
      <c r="D792" s="55">
        <f>57.6+21.7+0.95</f>
        <v>80.25</v>
      </c>
    </row>
    <row r="793" spans="2:4" ht="12.75">
      <c r="B793" s="54"/>
      <c r="C793" s="40" t="s">
        <v>21</v>
      </c>
      <c r="D793" s="66">
        <f>D781+D782+D786+D791+D792</f>
        <v>799.79</v>
      </c>
    </row>
    <row r="794" spans="2:4" ht="12.75">
      <c r="B794" s="55">
        <v>5</v>
      </c>
      <c r="C794" s="60" t="s">
        <v>9</v>
      </c>
      <c r="D794" s="66">
        <f>D793-D778/1000</f>
        <v>121.11600999999996</v>
      </c>
    </row>
    <row r="795" spans="2:4" ht="12.75">
      <c r="B795" s="69"/>
      <c r="C795" s="69"/>
      <c r="D795" s="69"/>
    </row>
    <row r="796" spans="2:4" ht="12.75">
      <c r="B796" s="70" t="s">
        <v>47</v>
      </c>
      <c r="C796" s="70"/>
      <c r="D796" s="70"/>
    </row>
    <row r="798" spans="2:4" ht="12.75">
      <c r="B798" s="53" t="s">
        <v>0</v>
      </c>
      <c r="C798" s="53"/>
      <c r="D798" s="53"/>
    </row>
    <row r="799" spans="2:4" ht="12.75">
      <c r="B799" s="53" t="s">
        <v>30</v>
      </c>
      <c r="C799" s="53"/>
      <c r="D799" s="53"/>
    </row>
    <row r="800" spans="2:4" ht="12.75">
      <c r="B800" s="53" t="s">
        <v>73</v>
      </c>
      <c r="C800" s="53"/>
      <c r="D800" s="53"/>
    </row>
    <row r="801" spans="2:4" ht="12.75">
      <c r="B801" s="54"/>
      <c r="C801" s="54" t="s">
        <v>3</v>
      </c>
      <c r="D801" s="55" t="s">
        <v>4</v>
      </c>
    </row>
    <row r="802" spans="2:4" ht="12.75">
      <c r="B802" s="55">
        <v>1</v>
      </c>
      <c r="C802" s="56" t="s">
        <v>5</v>
      </c>
      <c r="D802" s="54">
        <v>125.4</v>
      </c>
    </row>
    <row r="803" spans="2:4" ht="12.75">
      <c r="B803" s="55">
        <v>2</v>
      </c>
      <c r="C803" s="55" t="s">
        <v>32</v>
      </c>
      <c r="D803" s="54"/>
    </row>
    <row r="804" spans="2:4" ht="12.75">
      <c r="B804" s="54"/>
      <c r="C804" s="54" t="s">
        <v>7</v>
      </c>
      <c r="D804" s="54"/>
    </row>
    <row r="805" spans="2:4" ht="12.75">
      <c r="B805" s="54"/>
      <c r="C805" s="54" t="s">
        <v>33</v>
      </c>
      <c r="D805" s="59">
        <v>1562.63</v>
      </c>
    </row>
    <row r="806" spans="2:4" ht="12.75">
      <c r="B806" s="54"/>
      <c r="C806" s="54" t="s">
        <v>9</v>
      </c>
      <c r="D806" s="54">
        <f>D805-D804</f>
        <v>1562.63</v>
      </c>
    </row>
    <row r="807" spans="2:4" ht="12.75">
      <c r="B807" s="55">
        <v>3</v>
      </c>
      <c r="C807" s="58" t="s">
        <v>6</v>
      </c>
      <c r="D807" s="54"/>
    </row>
    <row r="808" spans="2:4" ht="12.75">
      <c r="B808" s="55"/>
      <c r="C808" s="54" t="s">
        <v>7</v>
      </c>
      <c r="D808" s="59">
        <v>17475.36</v>
      </c>
    </row>
    <row r="809" spans="2:4" ht="12.75">
      <c r="B809" s="55"/>
      <c r="C809" s="54" t="s">
        <v>8</v>
      </c>
      <c r="D809" s="59">
        <v>49632.18</v>
      </c>
    </row>
    <row r="810" spans="2:4" ht="12.75">
      <c r="B810" s="55"/>
      <c r="C810" s="54" t="s">
        <v>9</v>
      </c>
      <c r="D810" s="59">
        <f>D809-D808</f>
        <v>32156.82</v>
      </c>
    </row>
    <row r="811" spans="2:4" ht="12.75">
      <c r="B811" s="55">
        <v>4</v>
      </c>
      <c r="C811" s="60" t="s">
        <v>10</v>
      </c>
      <c r="D811" s="55" t="s">
        <v>11</v>
      </c>
    </row>
    <row r="812" spans="2:4" ht="12.75">
      <c r="B812" s="61" t="s">
        <v>14</v>
      </c>
      <c r="C812" s="61"/>
      <c r="D812" s="59">
        <v>2.36</v>
      </c>
    </row>
    <row r="813" spans="2:4" ht="12.75" customHeight="1">
      <c r="B813" s="62" t="s">
        <v>34</v>
      </c>
      <c r="C813" s="62"/>
      <c r="D813" s="55">
        <f>D814+D815+D816</f>
        <v>7.300000000000001</v>
      </c>
    </row>
    <row r="814" spans="2:4" ht="12.75">
      <c r="B814" s="54"/>
      <c r="C814" s="63" t="s">
        <v>35</v>
      </c>
      <c r="D814" s="59">
        <v>4.9</v>
      </c>
    </row>
    <row r="815" spans="2:4" ht="12.75">
      <c r="B815" s="54"/>
      <c r="C815" s="63" t="s">
        <v>36</v>
      </c>
      <c r="D815" s="72">
        <v>0</v>
      </c>
    </row>
    <row r="816" spans="2:4" ht="12.75">
      <c r="B816" s="61" t="s">
        <v>37</v>
      </c>
      <c r="C816" s="61"/>
      <c r="D816" s="72">
        <v>2.4</v>
      </c>
    </row>
    <row r="817" spans="2:4" ht="12.75" customHeight="1">
      <c r="B817" s="65" t="s">
        <v>38</v>
      </c>
      <c r="C817" s="65"/>
      <c r="D817" s="66">
        <f>D818+D820+D821+D819+D822</f>
        <v>13.591999999999999</v>
      </c>
    </row>
    <row r="818" spans="2:4" ht="12.75">
      <c r="B818" s="54"/>
      <c r="C818" s="63" t="s">
        <v>15</v>
      </c>
      <c r="D818" s="54">
        <f>0.246+0.06+0.086</f>
        <v>0.392</v>
      </c>
    </row>
    <row r="819" spans="2:4" ht="12.75">
      <c r="B819" s="54"/>
      <c r="C819" s="63" t="s">
        <v>39</v>
      </c>
      <c r="D819" s="59">
        <v>0</v>
      </c>
    </row>
    <row r="820" spans="2:4" ht="12.75">
      <c r="B820" s="54"/>
      <c r="C820" s="67" t="s">
        <v>40</v>
      </c>
      <c r="D820" s="59">
        <v>0</v>
      </c>
    </row>
    <row r="821" spans="2:4" ht="12.75">
      <c r="B821" s="54"/>
      <c r="C821" s="63" t="s">
        <v>41</v>
      </c>
      <c r="D821" s="57">
        <v>0</v>
      </c>
    </row>
    <row r="822" spans="2:4" ht="12.75">
      <c r="B822" s="54"/>
      <c r="C822" s="63" t="s">
        <v>58</v>
      </c>
      <c r="D822" s="57">
        <v>13.2</v>
      </c>
    </row>
    <row r="823" spans="2:4" ht="12.75">
      <c r="B823" s="61" t="s">
        <v>19</v>
      </c>
      <c r="C823" s="61"/>
      <c r="D823" s="66">
        <v>1.4889999999999999</v>
      </c>
    </row>
    <row r="824" spans="2:4" ht="12.75">
      <c r="B824" s="68" t="s">
        <v>42</v>
      </c>
      <c r="C824" s="68"/>
      <c r="D824" s="55">
        <f>1.92</f>
        <v>1.92</v>
      </c>
    </row>
    <row r="825" spans="2:4" ht="12.75">
      <c r="B825" s="54"/>
      <c r="C825" s="40" t="s">
        <v>21</v>
      </c>
      <c r="D825" s="66">
        <f>D812+D813+D817+D823+D824</f>
        <v>26.661</v>
      </c>
    </row>
    <row r="826" spans="2:4" ht="12.75">
      <c r="B826" s="55">
        <v>5</v>
      </c>
      <c r="C826" s="60" t="s">
        <v>9</v>
      </c>
      <c r="D826" s="66">
        <f>D825-D809/1000</f>
        <v>-22.971179999999997</v>
      </c>
    </row>
    <row r="827" spans="2:4" ht="12.75">
      <c r="B827" s="69"/>
      <c r="C827" s="69"/>
      <c r="D827" s="69"/>
    </row>
    <row r="828" spans="2:4" ht="12.75">
      <c r="B828" s="70" t="s">
        <v>47</v>
      </c>
      <c r="C828" s="70"/>
      <c r="D828" s="70"/>
    </row>
    <row r="830" spans="2:4" ht="12.75">
      <c r="B830" s="53" t="s">
        <v>0</v>
      </c>
      <c r="C830" s="53"/>
      <c r="D830" s="53"/>
    </row>
    <row r="831" spans="2:4" ht="12.75">
      <c r="B831" s="53" t="s">
        <v>30</v>
      </c>
      <c r="C831" s="53"/>
      <c r="D831" s="53"/>
    </row>
    <row r="832" spans="2:4" ht="12.75">
      <c r="B832" s="53" t="s">
        <v>74</v>
      </c>
      <c r="C832" s="53"/>
      <c r="D832" s="53"/>
    </row>
    <row r="833" spans="2:4" ht="12.75">
      <c r="B833" s="54"/>
      <c r="C833" s="54" t="s">
        <v>3</v>
      </c>
      <c r="D833" s="55" t="s">
        <v>4</v>
      </c>
    </row>
    <row r="834" spans="2:4" ht="12.75">
      <c r="B834" s="55">
        <v>1</v>
      </c>
      <c r="C834" s="56" t="s">
        <v>5</v>
      </c>
      <c r="D834" s="54">
        <v>387.92</v>
      </c>
    </row>
    <row r="835" spans="2:4" ht="12.75">
      <c r="B835" s="55">
        <v>2</v>
      </c>
      <c r="C835" s="55" t="s">
        <v>32</v>
      </c>
      <c r="D835" s="54"/>
    </row>
    <row r="836" spans="2:4" ht="12.75">
      <c r="B836" s="54"/>
      <c r="C836" s="54" t="s">
        <v>7</v>
      </c>
      <c r="D836" s="54">
        <v>4484.24</v>
      </c>
    </row>
    <row r="837" spans="2:4" ht="12.75">
      <c r="B837" s="54"/>
      <c r="C837" s="54" t="s">
        <v>33</v>
      </c>
      <c r="D837" s="59">
        <v>7416.37</v>
      </c>
    </row>
    <row r="838" spans="2:4" ht="12.75">
      <c r="B838" s="54"/>
      <c r="C838" s="54" t="s">
        <v>9</v>
      </c>
      <c r="D838" s="54">
        <f>D837-D836</f>
        <v>2932.13</v>
      </c>
    </row>
    <row r="839" spans="2:4" ht="12.75">
      <c r="B839" s="55">
        <v>3</v>
      </c>
      <c r="C839" s="58" t="s">
        <v>6</v>
      </c>
      <c r="D839" s="54"/>
    </row>
    <row r="840" spans="2:4" ht="12.75">
      <c r="B840" s="55"/>
      <c r="C840" s="54" t="s">
        <v>7</v>
      </c>
      <c r="D840" s="59">
        <v>84296.83</v>
      </c>
    </row>
    <row r="841" spans="2:4" ht="12.75">
      <c r="B841" s="55"/>
      <c r="C841" s="54" t="s">
        <v>8</v>
      </c>
      <c r="D841" s="59">
        <v>74280.88</v>
      </c>
    </row>
    <row r="842" spans="2:4" ht="12.75">
      <c r="B842" s="55"/>
      <c r="C842" s="54" t="s">
        <v>9</v>
      </c>
      <c r="D842" s="59">
        <f>D841-D840</f>
        <v>-10015.949999999997</v>
      </c>
    </row>
    <row r="843" spans="2:4" ht="12.75">
      <c r="B843" s="55">
        <v>4</v>
      </c>
      <c r="C843" s="60" t="s">
        <v>10</v>
      </c>
      <c r="D843" s="55" t="s">
        <v>11</v>
      </c>
    </row>
    <row r="844" spans="2:4" ht="12.75">
      <c r="B844" s="61" t="s">
        <v>14</v>
      </c>
      <c r="C844" s="61"/>
      <c r="D844" s="59">
        <v>11.38</v>
      </c>
    </row>
    <row r="845" spans="2:4" ht="12.75" customHeight="1">
      <c r="B845" s="62" t="s">
        <v>34</v>
      </c>
      <c r="C845" s="62"/>
      <c r="D845" s="55">
        <f>D846+D847+D848</f>
        <v>19.7</v>
      </c>
    </row>
    <row r="846" spans="2:4" ht="12.75">
      <c r="B846" s="54"/>
      <c r="C846" s="63" t="s">
        <v>35</v>
      </c>
      <c r="D846" s="59">
        <v>15.02</v>
      </c>
    </row>
    <row r="847" spans="2:4" ht="12.75">
      <c r="B847" s="54"/>
      <c r="C847" s="63" t="s">
        <v>36</v>
      </c>
      <c r="D847" s="64">
        <v>4.68</v>
      </c>
    </row>
    <row r="848" spans="2:4" ht="12.75">
      <c r="B848" s="61" t="s">
        <v>37</v>
      </c>
      <c r="C848" s="61"/>
      <c r="D848" s="72">
        <v>0</v>
      </c>
    </row>
    <row r="849" spans="2:4" ht="12.75" customHeight="1">
      <c r="B849" s="65" t="s">
        <v>38</v>
      </c>
      <c r="C849" s="65"/>
      <c r="D849" s="66">
        <f>D850+D852+D853+D851</f>
        <v>41.39</v>
      </c>
    </row>
    <row r="850" spans="2:4" ht="12.75">
      <c r="B850" s="54"/>
      <c r="C850" s="63" t="s">
        <v>15</v>
      </c>
      <c r="D850" s="54">
        <f>24.42+4.93+2.15+3.16+0.35+0.09+0.34+5.57</f>
        <v>41.010000000000005</v>
      </c>
    </row>
    <row r="851" spans="2:4" ht="12.75">
      <c r="B851" s="54"/>
      <c r="C851" s="63" t="s">
        <v>39</v>
      </c>
      <c r="D851" s="59">
        <v>0.16</v>
      </c>
    </row>
    <row r="852" spans="2:4" ht="12.75">
      <c r="B852" s="54"/>
      <c r="C852" s="67" t="s">
        <v>40</v>
      </c>
      <c r="D852" s="59">
        <v>0</v>
      </c>
    </row>
    <row r="853" spans="2:4" ht="12.75">
      <c r="B853" s="54"/>
      <c r="C853" s="63" t="s">
        <v>41</v>
      </c>
      <c r="D853" s="57">
        <f>0.04+0.18</f>
        <v>0.22</v>
      </c>
    </row>
    <row r="854" spans="2:4" ht="12.75">
      <c r="B854" s="61" t="s">
        <v>19</v>
      </c>
      <c r="C854" s="61"/>
      <c r="D854" s="73">
        <v>2.22</v>
      </c>
    </row>
    <row r="855" spans="2:4" ht="12.75">
      <c r="B855" s="68" t="s">
        <v>42</v>
      </c>
      <c r="C855" s="68"/>
      <c r="D855" s="55">
        <f>5.94+2.24+0.1</f>
        <v>8.28</v>
      </c>
    </row>
    <row r="856" spans="2:4" ht="12.75">
      <c r="B856" s="54"/>
      <c r="C856" s="40" t="s">
        <v>21</v>
      </c>
      <c r="D856" s="66">
        <f>D844+D845+D849+D854+D855</f>
        <v>82.97</v>
      </c>
    </row>
    <row r="857" spans="2:4" ht="12.75">
      <c r="B857" s="55">
        <v>5</v>
      </c>
      <c r="C857" s="60" t="s">
        <v>9</v>
      </c>
      <c r="D857" s="66">
        <f>D856-D841/1000</f>
        <v>8.689119999999988</v>
      </c>
    </row>
    <row r="858" spans="2:4" ht="12.75">
      <c r="B858" s="69"/>
      <c r="C858" s="69"/>
      <c r="D858" s="69"/>
    </row>
    <row r="859" spans="2:4" ht="12.75">
      <c r="B859" s="70" t="s">
        <v>47</v>
      </c>
      <c r="C859" s="70"/>
      <c r="D859" s="70"/>
    </row>
    <row r="861" spans="2:4" ht="12.75">
      <c r="B861" s="53" t="s">
        <v>0</v>
      </c>
      <c r="C861" s="53"/>
      <c r="D861" s="53"/>
    </row>
    <row r="862" spans="2:4" ht="12.75">
      <c r="B862" s="53" t="s">
        <v>30</v>
      </c>
      <c r="C862" s="53"/>
      <c r="D862" s="53"/>
    </row>
    <row r="863" spans="2:4" ht="12.75">
      <c r="B863" s="53" t="s">
        <v>75</v>
      </c>
      <c r="C863" s="53"/>
      <c r="D863" s="53"/>
    </row>
    <row r="864" spans="2:4" ht="12.75">
      <c r="B864" s="54"/>
      <c r="C864" s="54" t="s">
        <v>3</v>
      </c>
      <c r="D864" s="55" t="s">
        <v>4</v>
      </c>
    </row>
    <row r="865" spans="2:4" ht="12.75">
      <c r="B865" s="55">
        <v>1</v>
      </c>
      <c r="C865" s="56" t="s">
        <v>5</v>
      </c>
      <c r="D865" s="54">
        <v>375.9</v>
      </c>
    </row>
    <row r="866" spans="2:4" ht="12.75">
      <c r="B866" s="55">
        <v>2</v>
      </c>
      <c r="C866" s="55" t="s">
        <v>32</v>
      </c>
      <c r="D866" s="54"/>
    </row>
    <row r="867" spans="2:4" ht="12.75">
      <c r="B867" s="54"/>
      <c r="C867" s="54" t="s">
        <v>7</v>
      </c>
      <c r="D867" s="54"/>
    </row>
    <row r="868" spans="2:4" ht="12.75">
      <c r="B868" s="54"/>
      <c r="C868" s="54" t="s">
        <v>33</v>
      </c>
      <c r="D868" s="59">
        <v>120.31</v>
      </c>
    </row>
    <row r="869" spans="2:4" ht="12.75">
      <c r="B869" s="54"/>
      <c r="C869" s="54" t="s">
        <v>9</v>
      </c>
      <c r="D869" s="54">
        <f>D868-D867</f>
        <v>120.31</v>
      </c>
    </row>
    <row r="870" spans="2:4" ht="12.75">
      <c r="B870" s="55">
        <v>3</v>
      </c>
      <c r="C870" s="58" t="s">
        <v>6</v>
      </c>
      <c r="D870" s="54"/>
    </row>
    <row r="871" spans="2:4" ht="12.75">
      <c r="B871" s="55"/>
      <c r="C871" s="54" t="s">
        <v>7</v>
      </c>
      <c r="D871" s="59">
        <v>67946.86</v>
      </c>
    </row>
    <row r="872" spans="2:4" ht="12.75">
      <c r="B872" s="55"/>
      <c r="C872" s="54" t="s">
        <v>8</v>
      </c>
      <c r="D872" s="59">
        <v>65654.76</v>
      </c>
    </row>
    <row r="873" spans="2:4" ht="12.75">
      <c r="B873" s="55"/>
      <c r="C873" s="54" t="s">
        <v>9</v>
      </c>
      <c r="D873" s="59">
        <f>D872-D871</f>
        <v>-2292.100000000006</v>
      </c>
    </row>
    <row r="874" spans="2:4" ht="12.75">
      <c r="B874" s="55">
        <v>4</v>
      </c>
      <c r="C874" s="60" t="s">
        <v>10</v>
      </c>
      <c r="D874" s="55" t="s">
        <v>11</v>
      </c>
    </row>
    <row r="875" spans="2:4" ht="12.75">
      <c r="B875" s="61" t="s">
        <v>14</v>
      </c>
      <c r="C875" s="61"/>
      <c r="D875" s="59">
        <v>9.17</v>
      </c>
    </row>
    <row r="876" spans="2:4" ht="12.75" customHeight="1">
      <c r="B876" s="62" t="s">
        <v>34</v>
      </c>
      <c r="C876" s="62"/>
      <c r="D876" s="55">
        <f>D877+D878+D879</f>
        <v>51.42</v>
      </c>
    </row>
    <row r="877" spans="2:4" ht="12.75">
      <c r="B877" s="54"/>
      <c r="C877" s="63" t="s">
        <v>35</v>
      </c>
      <c r="D877" s="59">
        <v>14.55</v>
      </c>
    </row>
    <row r="878" spans="2:4" ht="12.75">
      <c r="B878" s="54"/>
      <c r="C878" s="63" t="s">
        <v>36</v>
      </c>
      <c r="D878" s="64">
        <v>27.27</v>
      </c>
    </row>
    <row r="879" spans="2:4" ht="12.75">
      <c r="B879" s="61" t="s">
        <v>37</v>
      </c>
      <c r="C879" s="61"/>
      <c r="D879" s="72">
        <v>9.6</v>
      </c>
    </row>
    <row r="880" spans="2:4" ht="12.75" customHeight="1">
      <c r="B880" s="65" t="s">
        <v>38</v>
      </c>
      <c r="C880" s="65"/>
      <c r="D880" s="66">
        <f>D881+D883+D884+D882</f>
        <v>31.968000000000004</v>
      </c>
    </row>
    <row r="881" spans="2:4" ht="12.75">
      <c r="B881" s="54"/>
      <c r="C881" s="63" t="s">
        <v>15</v>
      </c>
      <c r="D881" s="54">
        <f>17.8+3.6+1.5+2.3+0.08+0.37+0.09+1.3+0.498</f>
        <v>27.538000000000004</v>
      </c>
    </row>
    <row r="882" spans="2:4" ht="12.75">
      <c r="B882" s="54"/>
      <c r="C882" s="63" t="s">
        <v>39</v>
      </c>
      <c r="D882" s="59">
        <v>1.38</v>
      </c>
    </row>
    <row r="883" spans="2:4" ht="12.75">
      <c r="B883" s="54"/>
      <c r="C883" s="67" t="s">
        <v>40</v>
      </c>
      <c r="D883" s="59">
        <v>0</v>
      </c>
    </row>
    <row r="884" spans="2:4" ht="12.75">
      <c r="B884" s="54"/>
      <c r="C884" s="63" t="s">
        <v>41</v>
      </c>
      <c r="D884" s="59">
        <f>0.03+0.15+2.87</f>
        <v>3.0500000000000003</v>
      </c>
    </row>
    <row r="885" spans="2:4" ht="12.75">
      <c r="B885" s="61" t="s">
        <v>19</v>
      </c>
      <c r="C885" s="61"/>
      <c r="D885" s="73">
        <v>1.97</v>
      </c>
    </row>
    <row r="886" spans="2:4" ht="12.75">
      <c r="B886" s="68" t="s">
        <v>42</v>
      </c>
      <c r="C886" s="68"/>
      <c r="D886" s="66">
        <f>5.75+2.1+0.09</f>
        <v>7.9399999999999995</v>
      </c>
    </row>
    <row r="887" spans="2:4" ht="12.75">
      <c r="B887" s="54"/>
      <c r="C887" s="40" t="s">
        <v>21</v>
      </c>
      <c r="D887" s="66">
        <f>D875+D876+D880+D885+D886</f>
        <v>102.468</v>
      </c>
    </row>
    <row r="888" spans="2:4" ht="12.75">
      <c r="B888" s="55">
        <v>5</v>
      </c>
      <c r="C888" s="60" t="s">
        <v>9</v>
      </c>
      <c r="D888" s="66">
        <f>D887-D872/1000</f>
        <v>36.81324000000001</v>
      </c>
    </row>
    <row r="889" spans="2:4" ht="12.75">
      <c r="B889" s="69"/>
      <c r="C889" s="69"/>
      <c r="D889" s="69"/>
    </row>
    <row r="890" spans="2:4" ht="12.75">
      <c r="B890" s="70" t="s">
        <v>47</v>
      </c>
      <c r="C890" s="70"/>
      <c r="D890" s="70"/>
    </row>
    <row r="893" spans="2:4" ht="12.75">
      <c r="B893" s="53" t="s">
        <v>0</v>
      </c>
      <c r="C893" s="53"/>
      <c r="D893" s="53"/>
    </row>
    <row r="894" spans="2:4" ht="12.75">
      <c r="B894" s="53" t="s">
        <v>30</v>
      </c>
      <c r="C894" s="53"/>
      <c r="D894" s="53"/>
    </row>
    <row r="895" spans="2:4" ht="12.75">
      <c r="B895" s="53" t="s">
        <v>76</v>
      </c>
      <c r="C895" s="53"/>
      <c r="D895" s="53"/>
    </row>
    <row r="896" spans="2:4" ht="12.75">
      <c r="B896" s="54"/>
      <c r="C896" s="54" t="s">
        <v>3</v>
      </c>
      <c r="D896" s="55" t="s">
        <v>4</v>
      </c>
    </row>
    <row r="897" spans="2:4" ht="12.75">
      <c r="B897" s="55">
        <v>1</v>
      </c>
      <c r="C897" s="56" t="s">
        <v>5</v>
      </c>
      <c r="D897" s="54">
        <v>595.91</v>
      </c>
    </row>
    <row r="898" spans="2:4" ht="12.75">
      <c r="B898" s="55">
        <v>2</v>
      </c>
      <c r="C898" s="58" t="s">
        <v>6</v>
      </c>
      <c r="D898" s="54"/>
    </row>
    <row r="899" spans="2:4" ht="12.75">
      <c r="B899" s="55"/>
      <c r="C899" s="54" t="s">
        <v>7</v>
      </c>
      <c r="D899" s="59">
        <v>101953.61</v>
      </c>
    </row>
    <row r="900" spans="2:4" ht="12.75">
      <c r="B900" s="55"/>
      <c r="C900" s="54" t="s">
        <v>8</v>
      </c>
      <c r="D900" s="59">
        <v>90614.18</v>
      </c>
    </row>
    <row r="901" spans="2:4" ht="12.75">
      <c r="B901" s="55"/>
      <c r="C901" s="54" t="s">
        <v>9</v>
      </c>
      <c r="D901" s="59">
        <f>D900-D899</f>
        <v>-11339.430000000008</v>
      </c>
    </row>
    <row r="902" spans="2:4" ht="12.75">
      <c r="B902" s="55">
        <v>3</v>
      </c>
      <c r="C902" s="60" t="s">
        <v>10</v>
      </c>
      <c r="D902" s="55" t="s">
        <v>11</v>
      </c>
    </row>
    <row r="903" spans="2:4" ht="12.75">
      <c r="B903" s="61" t="s">
        <v>14</v>
      </c>
      <c r="C903" s="61"/>
      <c r="D903" s="59">
        <v>13.8</v>
      </c>
    </row>
    <row r="904" spans="2:4" ht="12.75" customHeight="1">
      <c r="B904" s="62" t="s">
        <v>34</v>
      </c>
      <c r="C904" s="62"/>
      <c r="D904" s="55">
        <f>D905+D906+D907</f>
        <v>40.8</v>
      </c>
    </row>
    <row r="905" spans="2:4" ht="12.75">
      <c r="B905" s="54"/>
      <c r="C905" s="63" t="s">
        <v>35</v>
      </c>
      <c r="D905" s="59">
        <v>23</v>
      </c>
    </row>
    <row r="906" spans="2:4" ht="12.75">
      <c r="B906" s="54"/>
      <c r="C906" s="63" t="s">
        <v>36</v>
      </c>
      <c r="D906" s="64">
        <v>17.8</v>
      </c>
    </row>
    <row r="907" spans="2:4" ht="12.75">
      <c r="B907" s="61" t="s">
        <v>37</v>
      </c>
      <c r="C907" s="61"/>
      <c r="D907" s="72">
        <v>0</v>
      </c>
    </row>
    <row r="908" spans="2:4" ht="12.75" customHeight="1">
      <c r="B908" s="65" t="s">
        <v>38</v>
      </c>
      <c r="C908" s="65"/>
      <c r="D908" s="66">
        <f>D909+D911+D912+D910</f>
        <v>65.82</v>
      </c>
    </row>
    <row r="909" spans="2:4" ht="12.75">
      <c r="B909" s="54"/>
      <c r="C909" s="63" t="s">
        <v>15</v>
      </c>
      <c r="D909" s="54">
        <f>38+7.67+3.33+4.9+0.5+0.1+8.7+0.67</f>
        <v>63.870000000000005</v>
      </c>
    </row>
    <row r="910" spans="2:4" ht="12.75">
      <c r="B910" s="54"/>
      <c r="C910" s="63" t="s">
        <v>39</v>
      </c>
      <c r="D910" s="59">
        <v>0.6000000000000001</v>
      </c>
    </row>
    <row r="911" spans="2:4" ht="12.75">
      <c r="B911" s="54"/>
      <c r="C911" s="67" t="s">
        <v>40</v>
      </c>
      <c r="D911" s="59">
        <v>1</v>
      </c>
    </row>
    <row r="912" spans="2:4" ht="12.75">
      <c r="B912" s="54"/>
      <c r="C912" s="63" t="s">
        <v>41</v>
      </c>
      <c r="D912" s="57">
        <f>0.05+0.3</f>
        <v>0.35000000000000003</v>
      </c>
    </row>
    <row r="913" spans="2:4" ht="12.75">
      <c r="B913" s="61" t="s">
        <v>19</v>
      </c>
      <c r="C913" s="61"/>
      <c r="D913" s="73">
        <v>2.7</v>
      </c>
    </row>
    <row r="914" spans="2:4" ht="12.75">
      <c r="B914" s="68" t="s">
        <v>42</v>
      </c>
      <c r="C914" s="68"/>
      <c r="D914" s="55">
        <f>9.1+3.4+0.13</f>
        <v>12.63</v>
      </c>
    </row>
    <row r="915" spans="2:4" ht="12.75">
      <c r="B915" s="54"/>
      <c r="C915" s="40" t="s">
        <v>21</v>
      </c>
      <c r="D915" s="66">
        <f>D903+D904+D908+D913+D914</f>
        <v>135.75</v>
      </c>
    </row>
    <row r="916" spans="2:4" ht="12.75">
      <c r="B916" s="55">
        <v>4</v>
      </c>
      <c r="C916" s="60" t="s">
        <v>9</v>
      </c>
      <c r="D916" s="66">
        <f>D915-D900/1000</f>
        <v>45.13582000000001</v>
      </c>
    </row>
    <row r="917" spans="2:4" ht="12.75">
      <c r="B917" s="69"/>
      <c r="C917" s="69"/>
      <c r="D917" s="69"/>
    </row>
    <row r="918" spans="2:4" ht="12.75">
      <c r="B918" s="70" t="s">
        <v>47</v>
      </c>
      <c r="C918" s="70"/>
      <c r="D918" s="70"/>
    </row>
    <row r="921" spans="2:4" ht="12.75">
      <c r="B921" s="53" t="s">
        <v>0</v>
      </c>
      <c r="C921" s="53"/>
      <c r="D921" s="53"/>
    </row>
    <row r="922" spans="2:4" ht="12.75">
      <c r="B922" s="53" t="s">
        <v>30</v>
      </c>
      <c r="C922" s="53"/>
      <c r="D922" s="53"/>
    </row>
    <row r="923" spans="2:4" ht="12.75">
      <c r="B923" s="53" t="s">
        <v>77</v>
      </c>
      <c r="C923" s="53"/>
      <c r="D923" s="53"/>
    </row>
    <row r="924" spans="2:4" ht="12.75">
      <c r="B924" s="54"/>
      <c r="C924" s="54" t="s">
        <v>3</v>
      </c>
      <c r="D924" s="55" t="s">
        <v>4</v>
      </c>
    </row>
    <row r="925" spans="2:4" ht="12.75">
      <c r="B925" s="55">
        <v>1</v>
      </c>
      <c r="C925" s="56" t="s">
        <v>5</v>
      </c>
      <c r="D925" s="54">
        <v>3632.77</v>
      </c>
    </row>
    <row r="926" spans="2:4" ht="12.75">
      <c r="B926" s="55">
        <v>2</v>
      </c>
      <c r="C926" s="55" t="s">
        <v>32</v>
      </c>
      <c r="D926" s="54"/>
    </row>
    <row r="927" spans="2:4" ht="12.75">
      <c r="B927" s="55"/>
      <c r="C927" s="54" t="s">
        <v>7</v>
      </c>
      <c r="D927" s="54">
        <v>4607.65</v>
      </c>
    </row>
    <row r="928" spans="2:4" ht="12.75">
      <c r="B928" s="55"/>
      <c r="C928" s="54" t="s">
        <v>33</v>
      </c>
      <c r="D928" s="54">
        <v>5251.38</v>
      </c>
    </row>
    <row r="929" spans="2:4" ht="12.75">
      <c r="B929" s="55"/>
      <c r="C929" s="54" t="s">
        <v>9</v>
      </c>
      <c r="D929" s="54">
        <f>D928-D927</f>
        <v>643.7300000000005</v>
      </c>
    </row>
    <row r="930" spans="2:4" ht="12.75">
      <c r="B930" s="55">
        <v>3</v>
      </c>
      <c r="C930" s="58" t="s">
        <v>53</v>
      </c>
      <c r="D930" s="54"/>
    </row>
    <row r="931" spans="2:4" ht="12.75">
      <c r="B931" s="55"/>
      <c r="C931" s="54" t="s">
        <v>7</v>
      </c>
      <c r="D931" s="59">
        <v>667228.19</v>
      </c>
    </row>
    <row r="932" spans="2:4" ht="12.75">
      <c r="B932" s="55"/>
      <c r="C932" s="54" t="s">
        <v>8</v>
      </c>
      <c r="D932" s="59">
        <v>665705.99</v>
      </c>
    </row>
    <row r="933" spans="2:4" ht="12.75">
      <c r="B933" s="55"/>
      <c r="C933" s="54" t="s">
        <v>9</v>
      </c>
      <c r="D933" s="59">
        <f>D932-D931</f>
        <v>-1522.1999999999534</v>
      </c>
    </row>
    <row r="934" spans="2:4" ht="12.75">
      <c r="B934" s="55">
        <v>4</v>
      </c>
      <c r="C934" s="60" t="s">
        <v>10</v>
      </c>
      <c r="D934" s="55" t="s">
        <v>11</v>
      </c>
    </row>
    <row r="935" spans="2:4" ht="12.75">
      <c r="B935" s="61" t="s">
        <v>14</v>
      </c>
      <c r="C935" s="61"/>
      <c r="D935" s="57">
        <v>90</v>
      </c>
    </row>
    <row r="936" spans="2:4" ht="12.75" customHeight="1">
      <c r="B936" s="62" t="s">
        <v>34</v>
      </c>
      <c r="C936" s="62"/>
      <c r="D936" s="55">
        <f>D937+D938+D939</f>
        <v>223.00999999999996</v>
      </c>
    </row>
    <row r="937" spans="2:4" ht="12.75">
      <c r="B937" s="54"/>
      <c r="C937" s="63" t="s">
        <v>35</v>
      </c>
      <c r="D937" s="59">
        <v>140.7</v>
      </c>
    </row>
    <row r="938" spans="2:4" ht="12.75">
      <c r="B938" s="54"/>
      <c r="C938" s="63" t="s">
        <v>36</v>
      </c>
      <c r="D938" s="72">
        <v>70.71</v>
      </c>
    </row>
    <row r="939" spans="2:4" ht="12.75">
      <c r="B939" s="61" t="s">
        <v>37</v>
      </c>
      <c r="C939" s="61"/>
      <c r="D939" s="72">
        <v>11.6</v>
      </c>
    </row>
    <row r="940" spans="2:4" ht="12.75" customHeight="1">
      <c r="B940" s="65" t="s">
        <v>38</v>
      </c>
      <c r="C940" s="65"/>
      <c r="D940" s="66">
        <f>D941+D943+D944+D942</f>
        <v>156.18999999999997</v>
      </c>
    </row>
    <row r="941" spans="2:4" ht="12.75">
      <c r="B941" s="54"/>
      <c r="C941" s="63" t="s">
        <v>15</v>
      </c>
      <c r="D941" s="54">
        <f>83.32+16.8+7.32+10.8+3.3+0.85+3.6+1.9+3.06</f>
        <v>130.95</v>
      </c>
    </row>
    <row r="942" spans="2:4" ht="12.75">
      <c r="B942" s="54"/>
      <c r="C942" s="63" t="s">
        <v>39</v>
      </c>
      <c r="D942" s="59">
        <v>18.73</v>
      </c>
    </row>
    <row r="943" spans="2:4" ht="12.75">
      <c r="B943" s="54"/>
      <c r="C943" s="67" t="s">
        <v>40</v>
      </c>
      <c r="D943" s="59">
        <v>0</v>
      </c>
    </row>
    <row r="944" spans="2:4" ht="12.75">
      <c r="B944" s="54"/>
      <c r="C944" s="63" t="s">
        <v>41</v>
      </c>
      <c r="D944" s="59">
        <f>0.36+1.65+4.5</f>
        <v>6.51</v>
      </c>
    </row>
    <row r="945" spans="2:4" ht="12.75">
      <c r="B945" s="61" t="s">
        <v>19</v>
      </c>
      <c r="C945" s="61"/>
      <c r="D945" s="73">
        <v>20</v>
      </c>
    </row>
    <row r="946" spans="2:4" ht="12.75">
      <c r="B946" s="68" t="s">
        <v>42</v>
      </c>
      <c r="C946" s="68"/>
      <c r="D946" s="55">
        <f>55.6+20.95+0.98</f>
        <v>77.53</v>
      </c>
    </row>
    <row r="947" spans="2:4" ht="12.75">
      <c r="B947" s="68" t="s">
        <v>54</v>
      </c>
      <c r="C947" s="68"/>
      <c r="D947" s="55">
        <v>16.55</v>
      </c>
    </row>
    <row r="948" spans="2:4" ht="12.75">
      <c r="B948" s="54"/>
      <c r="C948" s="40" t="s">
        <v>21</v>
      </c>
      <c r="D948" s="66">
        <f>D935+D936+D940+D945+D946+D947</f>
        <v>583.2799999999999</v>
      </c>
    </row>
    <row r="949" spans="2:4" ht="12.75">
      <c r="B949" s="55">
        <v>5</v>
      </c>
      <c r="C949" s="60" t="s">
        <v>9</v>
      </c>
      <c r="D949" s="66">
        <f>D948-D932/1000</f>
        <v>-82.42599000000018</v>
      </c>
    </row>
    <row r="950" spans="2:4" ht="12.75">
      <c r="B950" s="69"/>
      <c r="C950" s="69"/>
      <c r="D950" s="69"/>
    </row>
    <row r="951" spans="2:4" ht="12.75">
      <c r="B951" s="70" t="s">
        <v>47</v>
      </c>
      <c r="C951" s="70"/>
      <c r="D951" s="70"/>
    </row>
    <row r="953" spans="2:4" ht="12.75">
      <c r="B953" s="53" t="s">
        <v>0</v>
      </c>
      <c r="C953" s="53"/>
      <c r="D953" s="53"/>
    </row>
    <row r="954" spans="2:4" ht="12.75">
      <c r="B954" s="53" t="s">
        <v>30</v>
      </c>
      <c r="C954" s="53"/>
      <c r="D954" s="53"/>
    </row>
    <row r="955" spans="2:4" ht="12.75">
      <c r="B955" s="53" t="s">
        <v>78</v>
      </c>
      <c r="C955" s="53"/>
      <c r="D955" s="53"/>
    </row>
    <row r="956" spans="2:4" ht="12.75">
      <c r="B956" s="54"/>
      <c r="C956" s="54" t="s">
        <v>3</v>
      </c>
      <c r="D956" s="55" t="s">
        <v>4</v>
      </c>
    </row>
    <row r="957" spans="2:4" ht="12.75">
      <c r="B957" s="55">
        <v>1</v>
      </c>
      <c r="C957" s="56" t="s">
        <v>5</v>
      </c>
      <c r="D957" s="54">
        <v>1604.48</v>
      </c>
    </row>
    <row r="958" spans="2:4" ht="12.75">
      <c r="B958" s="55">
        <v>2</v>
      </c>
      <c r="C958" s="55" t="s">
        <v>32</v>
      </c>
      <c r="D958" s="54"/>
    </row>
    <row r="959" spans="2:4" ht="12.75">
      <c r="B959" s="54"/>
      <c r="C959" s="54" t="s">
        <v>7</v>
      </c>
      <c r="D959" s="54"/>
    </row>
    <row r="960" spans="2:4" ht="12.75">
      <c r="B960" s="54"/>
      <c r="C960" s="54" t="s">
        <v>33</v>
      </c>
      <c r="D960" s="59">
        <v>400.12</v>
      </c>
    </row>
    <row r="961" spans="2:4" ht="12.75">
      <c r="B961" s="54"/>
      <c r="C961" s="54" t="s">
        <v>9</v>
      </c>
      <c r="D961" s="54">
        <f>D960-D959</f>
        <v>400.12</v>
      </c>
    </row>
    <row r="962" spans="2:4" ht="12.75">
      <c r="B962" s="55">
        <v>3</v>
      </c>
      <c r="C962" s="58" t="s">
        <v>6</v>
      </c>
      <c r="D962" s="54"/>
    </row>
    <row r="963" spans="2:4" ht="12.75">
      <c r="B963" s="55"/>
      <c r="C963" s="54" t="s">
        <v>7</v>
      </c>
      <c r="D963" s="59">
        <v>259203.4</v>
      </c>
    </row>
    <row r="964" spans="2:4" ht="12.75">
      <c r="B964" s="55"/>
      <c r="C964" s="54" t="s">
        <v>8</v>
      </c>
      <c r="D964" s="59">
        <v>254169.14</v>
      </c>
    </row>
    <row r="965" spans="2:4" ht="12.75">
      <c r="B965" s="55"/>
      <c r="C965" s="54" t="s">
        <v>9</v>
      </c>
      <c r="D965" s="59">
        <f>D964-D963</f>
        <v>-5034.25999999998</v>
      </c>
    </row>
    <row r="966" spans="2:4" ht="12.75">
      <c r="B966" s="55">
        <v>4</v>
      </c>
      <c r="C966" s="60" t="s">
        <v>10</v>
      </c>
      <c r="D966" s="55" t="s">
        <v>11</v>
      </c>
    </row>
    <row r="967" spans="2:4" ht="12.75">
      <c r="B967" s="61" t="s">
        <v>14</v>
      </c>
      <c r="C967" s="61"/>
      <c r="D967" s="59">
        <v>35</v>
      </c>
    </row>
    <row r="968" spans="2:4" ht="12.75" customHeight="1">
      <c r="B968" s="62" t="s">
        <v>34</v>
      </c>
      <c r="C968" s="62"/>
      <c r="D968" s="55">
        <f>D969+D970+D971</f>
        <v>112.17</v>
      </c>
    </row>
    <row r="969" spans="2:4" ht="12.75">
      <c r="B969" s="54"/>
      <c r="C969" s="63" t="s">
        <v>35</v>
      </c>
      <c r="D969" s="59">
        <v>62.06</v>
      </c>
    </row>
    <row r="970" spans="2:4" ht="12.75">
      <c r="B970" s="54"/>
      <c r="C970" s="63" t="s">
        <v>36</v>
      </c>
      <c r="D970" s="64">
        <v>44.11</v>
      </c>
    </row>
    <row r="971" spans="2:4" ht="12.75">
      <c r="B971" s="61" t="s">
        <v>37</v>
      </c>
      <c r="C971" s="61"/>
      <c r="D971" s="72">
        <v>6</v>
      </c>
    </row>
    <row r="972" spans="2:4" ht="12.75" customHeight="1">
      <c r="B972" s="65" t="s">
        <v>38</v>
      </c>
      <c r="C972" s="65"/>
      <c r="D972" s="66">
        <f>D973+D975+D976+D974</f>
        <v>41.74000000000001</v>
      </c>
    </row>
    <row r="973" spans="2:4" ht="12.75">
      <c r="B973" s="54"/>
      <c r="C973" s="63" t="s">
        <v>15</v>
      </c>
      <c r="D973" s="54">
        <f>24.42+4.93+2.14+3.16+1.78+0.46+1.27</f>
        <v>38.16000000000001</v>
      </c>
    </row>
    <row r="974" spans="2:4" ht="12.75">
      <c r="B974" s="54"/>
      <c r="C974" s="63" t="s">
        <v>39</v>
      </c>
      <c r="D974" s="59">
        <v>2.85</v>
      </c>
    </row>
    <row r="975" spans="2:4" ht="12.75">
      <c r="B975" s="54"/>
      <c r="C975" s="67" t="s">
        <v>40</v>
      </c>
      <c r="D975" s="59">
        <v>0</v>
      </c>
    </row>
    <row r="976" spans="2:4" ht="12.75">
      <c r="B976" s="54"/>
      <c r="C976" s="63" t="s">
        <v>41</v>
      </c>
      <c r="D976" s="59">
        <f>0.13+0.6</f>
        <v>0.7300000000000001</v>
      </c>
    </row>
    <row r="977" spans="2:4" ht="12.75">
      <c r="B977" s="61" t="s">
        <v>19</v>
      </c>
      <c r="C977" s="61"/>
      <c r="D977" s="73">
        <v>7.63</v>
      </c>
    </row>
    <row r="978" spans="2:4" ht="12.75">
      <c r="B978" s="68" t="s">
        <v>42</v>
      </c>
      <c r="C978" s="68"/>
      <c r="D978" s="66">
        <f>24.55+9.25+0.35</f>
        <v>34.15</v>
      </c>
    </row>
    <row r="979" spans="2:4" ht="12.75">
      <c r="B979" s="54"/>
      <c r="C979" s="40" t="s">
        <v>21</v>
      </c>
      <c r="D979" s="66">
        <f>D967+D968+D972+D977+D978</f>
        <v>230.69000000000003</v>
      </c>
    </row>
    <row r="980" spans="2:4" ht="12.75">
      <c r="B980" s="55">
        <v>5</v>
      </c>
      <c r="C980" s="60" t="s">
        <v>9</v>
      </c>
      <c r="D980" s="66">
        <f>D979-D964/1000</f>
        <v>-23.47914</v>
      </c>
    </row>
    <row r="981" spans="2:4" ht="12.75">
      <c r="B981" s="69"/>
      <c r="C981" s="69"/>
      <c r="D981" s="69"/>
    </row>
    <row r="982" spans="2:4" ht="12.75">
      <c r="B982" s="70" t="s">
        <v>47</v>
      </c>
      <c r="C982" s="70"/>
      <c r="D982" s="70"/>
    </row>
    <row r="984" spans="2:4" ht="12.75">
      <c r="B984" s="53" t="s">
        <v>0</v>
      </c>
      <c r="C984" s="53"/>
      <c r="D984" s="53"/>
    </row>
    <row r="985" spans="2:4" ht="12.75">
      <c r="B985" s="53" t="s">
        <v>30</v>
      </c>
      <c r="C985" s="53"/>
      <c r="D985" s="53"/>
    </row>
    <row r="986" spans="2:4" ht="12.75">
      <c r="B986" s="53" t="s">
        <v>79</v>
      </c>
      <c r="C986" s="53"/>
      <c r="D986" s="53"/>
    </row>
    <row r="987" spans="2:4" ht="12.75">
      <c r="B987" s="54"/>
      <c r="C987" s="54" t="s">
        <v>3</v>
      </c>
      <c r="D987" s="55" t="s">
        <v>4</v>
      </c>
    </row>
    <row r="988" spans="2:4" ht="12.75">
      <c r="B988" s="55">
        <v>1</v>
      </c>
      <c r="C988" s="56" t="s">
        <v>5</v>
      </c>
      <c r="D988" s="54">
        <v>1358.5</v>
      </c>
    </row>
    <row r="989" spans="2:4" ht="12.75">
      <c r="B989" s="55">
        <v>2</v>
      </c>
      <c r="C989" s="55" t="s">
        <v>32</v>
      </c>
      <c r="D989" s="54"/>
    </row>
    <row r="990" spans="2:4" ht="12.75">
      <c r="B990" s="54"/>
      <c r="C990" s="54" t="s">
        <v>7</v>
      </c>
      <c r="D990" s="54"/>
    </row>
    <row r="991" spans="2:4" ht="12.75">
      <c r="B991" s="54"/>
      <c r="C991" s="54" t="s">
        <v>33</v>
      </c>
      <c r="D991" s="59">
        <v>658.05</v>
      </c>
    </row>
    <row r="992" spans="2:4" ht="12.75">
      <c r="B992" s="54"/>
      <c r="C992" s="54" t="s">
        <v>9</v>
      </c>
      <c r="D992" s="54">
        <f>D991-D990</f>
        <v>658.05</v>
      </c>
    </row>
    <row r="993" spans="2:4" ht="12.75">
      <c r="B993" s="55">
        <v>3</v>
      </c>
      <c r="C993" s="58" t="s">
        <v>6</v>
      </c>
      <c r="D993" s="54"/>
    </row>
    <row r="994" spans="2:4" ht="12.75">
      <c r="B994" s="55"/>
      <c r="C994" s="54" t="s">
        <v>7</v>
      </c>
      <c r="D994" s="59">
        <v>232705.61</v>
      </c>
    </row>
    <row r="995" spans="2:4" ht="12.75">
      <c r="B995" s="55"/>
      <c r="C995" s="54" t="s">
        <v>8</v>
      </c>
      <c r="D995" s="59">
        <v>246742.39</v>
      </c>
    </row>
    <row r="996" spans="2:4" ht="12.75">
      <c r="B996" s="55"/>
      <c r="C996" s="54" t="s">
        <v>9</v>
      </c>
      <c r="D996" s="59">
        <f>D995-D994</f>
        <v>14036.780000000028</v>
      </c>
    </row>
    <row r="997" spans="2:4" ht="12.75">
      <c r="B997" s="55">
        <v>4</v>
      </c>
      <c r="C997" s="60" t="s">
        <v>10</v>
      </c>
      <c r="D997" s="55" t="s">
        <v>11</v>
      </c>
    </row>
    <row r="998" spans="2:4" ht="12.75">
      <c r="B998" s="61" t="s">
        <v>14</v>
      </c>
      <c r="C998" s="61"/>
      <c r="D998" s="59">
        <v>31.4</v>
      </c>
    </row>
    <row r="999" spans="2:4" ht="12.75" customHeight="1">
      <c r="B999" s="62" t="s">
        <v>34</v>
      </c>
      <c r="C999" s="62"/>
      <c r="D999" s="55">
        <f>D1000+D1001+D1002</f>
        <v>97.75999999999999</v>
      </c>
    </row>
    <row r="1000" spans="2:4" ht="12.75">
      <c r="B1000" s="54"/>
      <c r="C1000" s="63" t="s">
        <v>35</v>
      </c>
      <c r="D1000" s="59">
        <v>52.6</v>
      </c>
    </row>
    <row r="1001" spans="2:4" ht="12.75">
      <c r="B1001" s="54"/>
      <c r="C1001" s="63" t="s">
        <v>36</v>
      </c>
      <c r="D1001" s="64">
        <v>45.16</v>
      </c>
    </row>
    <row r="1002" spans="2:4" ht="12.75">
      <c r="B1002" s="61" t="s">
        <v>37</v>
      </c>
      <c r="C1002" s="61"/>
      <c r="D1002" s="72">
        <v>0</v>
      </c>
    </row>
    <row r="1003" spans="2:4" ht="12.75" customHeight="1">
      <c r="B1003" s="65" t="s">
        <v>38</v>
      </c>
      <c r="C1003" s="65"/>
      <c r="D1003" s="66">
        <f>D1004+D1006+D1007+D1005</f>
        <v>57.16</v>
      </c>
    </row>
    <row r="1004" spans="2:4" ht="12.75">
      <c r="B1004" s="54"/>
      <c r="C1004" s="63" t="s">
        <v>15</v>
      </c>
      <c r="D1004" s="54">
        <f>24.42+4.93+2.15+3.16+0.4+1.34+0.35+0.57+1.12</f>
        <v>38.44</v>
      </c>
    </row>
    <row r="1005" spans="2:4" ht="12.75">
      <c r="B1005" s="54"/>
      <c r="C1005" s="63" t="s">
        <v>39</v>
      </c>
      <c r="D1005" s="59">
        <v>3.68</v>
      </c>
    </row>
    <row r="1006" spans="2:4" ht="12.75">
      <c r="B1006" s="54"/>
      <c r="C1006" s="67" t="s">
        <v>40</v>
      </c>
      <c r="D1006" s="59">
        <v>0</v>
      </c>
    </row>
    <row r="1007" spans="2:4" ht="12.75">
      <c r="B1007" s="54"/>
      <c r="C1007" s="63" t="s">
        <v>41</v>
      </c>
      <c r="D1007" s="59">
        <f>6.12+0.13+0.57+8.22</f>
        <v>15.040000000000001</v>
      </c>
    </row>
    <row r="1008" spans="2:4" ht="12.75">
      <c r="B1008" s="61" t="s">
        <v>19</v>
      </c>
      <c r="C1008" s="61"/>
      <c r="D1008" s="73">
        <v>7.4</v>
      </c>
    </row>
    <row r="1009" spans="2:4" ht="12.75">
      <c r="B1009" s="68" t="s">
        <v>42</v>
      </c>
      <c r="C1009" s="68"/>
      <c r="D1009" s="66">
        <f>20.8+7.83+0.34</f>
        <v>28.970000000000002</v>
      </c>
    </row>
    <row r="1010" spans="2:4" ht="12.75">
      <c r="B1010" s="54"/>
      <c r="C1010" s="40" t="s">
        <v>21</v>
      </c>
      <c r="D1010" s="66">
        <f>D998+D999+D1003+D1008+D1009</f>
        <v>222.69</v>
      </c>
    </row>
    <row r="1011" spans="2:4" ht="12.75">
      <c r="B1011" s="55">
        <v>5</v>
      </c>
      <c r="C1011" s="60" t="s">
        <v>9</v>
      </c>
      <c r="D1011" s="66">
        <f>D1010-D995/1000</f>
        <v>-24.052390000000003</v>
      </c>
    </row>
    <row r="1012" spans="2:4" ht="12.75">
      <c r="B1012" s="69"/>
      <c r="C1012" s="69"/>
      <c r="D1012" s="69"/>
    </row>
    <row r="1013" spans="2:4" ht="12.75">
      <c r="B1013" s="70" t="s">
        <v>47</v>
      </c>
      <c r="C1013" s="70"/>
      <c r="D1013" s="70"/>
    </row>
    <row r="1015" spans="2:4" ht="12.75">
      <c r="B1015" s="53" t="s">
        <v>0</v>
      </c>
      <c r="C1015" s="53"/>
      <c r="D1015" s="53"/>
    </row>
    <row r="1016" spans="2:4" ht="12.75">
      <c r="B1016" s="53" t="s">
        <v>30</v>
      </c>
      <c r="C1016" s="53"/>
      <c r="D1016" s="53"/>
    </row>
    <row r="1017" spans="2:4" ht="12.75">
      <c r="B1017" s="53" t="s">
        <v>80</v>
      </c>
      <c r="C1017" s="53"/>
      <c r="D1017" s="53"/>
    </row>
    <row r="1018" spans="2:4" ht="12.75">
      <c r="B1018" s="54"/>
      <c r="C1018" s="54" t="s">
        <v>3</v>
      </c>
      <c r="D1018" s="55" t="s">
        <v>4</v>
      </c>
    </row>
    <row r="1019" spans="2:4" ht="12.75">
      <c r="B1019" s="55">
        <v>1</v>
      </c>
      <c r="C1019" s="56" t="s">
        <v>5</v>
      </c>
      <c r="D1019" s="54">
        <v>478.59</v>
      </c>
    </row>
    <row r="1020" spans="2:4" ht="12.75">
      <c r="B1020" s="55">
        <v>2</v>
      </c>
      <c r="C1020" s="55" t="s">
        <v>32</v>
      </c>
      <c r="D1020" s="54"/>
    </row>
    <row r="1021" spans="2:4" ht="12.75">
      <c r="B1021" s="54"/>
      <c r="C1021" s="54" t="s">
        <v>7</v>
      </c>
      <c r="D1021" s="54">
        <v>5055.2</v>
      </c>
    </row>
    <row r="1022" spans="2:4" ht="12.75">
      <c r="B1022" s="54"/>
      <c r="C1022" s="54" t="s">
        <v>33</v>
      </c>
      <c r="D1022" s="59">
        <v>3940.91</v>
      </c>
    </row>
    <row r="1023" spans="2:4" ht="12.75">
      <c r="B1023" s="54"/>
      <c r="C1023" s="54" t="s">
        <v>9</v>
      </c>
      <c r="D1023" s="54">
        <f>D1022-D1021</f>
        <v>-1114.29</v>
      </c>
    </row>
    <row r="1024" spans="2:4" ht="12.75">
      <c r="B1024" s="55">
        <v>3</v>
      </c>
      <c r="C1024" s="58" t="s">
        <v>6</v>
      </c>
      <c r="D1024" s="54"/>
    </row>
    <row r="1025" spans="2:4" ht="12.75">
      <c r="B1025" s="55"/>
      <c r="C1025" s="54" t="s">
        <v>7</v>
      </c>
      <c r="D1025" s="59">
        <v>68129.22</v>
      </c>
    </row>
    <row r="1026" spans="2:4" ht="12.75">
      <c r="B1026" s="55"/>
      <c r="C1026" s="54" t="s">
        <v>8</v>
      </c>
      <c r="D1026" s="59">
        <v>69001.27</v>
      </c>
    </row>
    <row r="1027" spans="2:4" ht="12.75">
      <c r="B1027" s="55"/>
      <c r="C1027" s="54" t="s">
        <v>9</v>
      </c>
      <c r="D1027" s="59">
        <f>D1026-D1025</f>
        <v>872.0500000000029</v>
      </c>
    </row>
    <row r="1028" spans="2:4" ht="12.75">
      <c r="B1028" s="55">
        <v>4</v>
      </c>
      <c r="C1028" s="60" t="s">
        <v>10</v>
      </c>
      <c r="D1028" s="55" t="s">
        <v>11</v>
      </c>
    </row>
    <row r="1029" spans="2:4" ht="12.75">
      <c r="B1029" s="61" t="s">
        <v>14</v>
      </c>
      <c r="C1029" s="61"/>
      <c r="D1029" s="59">
        <v>9.2</v>
      </c>
    </row>
    <row r="1030" spans="2:4" ht="12.75" customHeight="1">
      <c r="B1030" s="62" t="s">
        <v>34</v>
      </c>
      <c r="C1030" s="62"/>
      <c r="D1030" s="55">
        <f>D1031+D1032+D1033</f>
        <v>37.870000000000005</v>
      </c>
    </row>
    <row r="1031" spans="2:4" ht="12.75">
      <c r="B1031" s="54"/>
      <c r="C1031" s="63" t="s">
        <v>35</v>
      </c>
      <c r="D1031" s="59">
        <v>18.51</v>
      </c>
    </row>
    <row r="1032" spans="2:4" ht="12.75">
      <c r="B1032" s="54"/>
      <c r="C1032" s="63" t="s">
        <v>36</v>
      </c>
      <c r="D1032" s="64">
        <v>19.36</v>
      </c>
    </row>
    <row r="1033" spans="2:4" ht="12.75">
      <c r="B1033" s="61" t="s">
        <v>37</v>
      </c>
      <c r="C1033" s="61"/>
      <c r="D1033" s="72">
        <v>0</v>
      </c>
    </row>
    <row r="1034" spans="2:4" ht="12.75" customHeight="1">
      <c r="B1034" s="65" t="s">
        <v>38</v>
      </c>
      <c r="C1034" s="65"/>
      <c r="D1034" s="66">
        <f>D1035+D1037+D1038+D1036+D1039</f>
        <v>21.939999999999998</v>
      </c>
    </row>
    <row r="1035" spans="2:4" ht="12.75">
      <c r="B1035" s="54"/>
      <c r="C1035" s="63" t="s">
        <v>15</v>
      </c>
      <c r="D1035" s="54">
        <f>10.37+2.1+0.91+1.34+0.55+0.14+1.57+2+0.91</f>
        <v>19.89</v>
      </c>
    </row>
    <row r="1036" spans="2:4" ht="12.75">
      <c r="B1036" s="54"/>
      <c r="C1036" s="63" t="s">
        <v>39</v>
      </c>
      <c r="D1036" s="59">
        <v>0.24</v>
      </c>
    </row>
    <row r="1037" spans="2:4" ht="12.75">
      <c r="B1037" s="54"/>
      <c r="C1037" s="67" t="s">
        <v>40</v>
      </c>
      <c r="D1037" s="59">
        <v>0</v>
      </c>
    </row>
    <row r="1038" spans="2:4" ht="12.75">
      <c r="B1038" s="54"/>
      <c r="C1038" s="63" t="s">
        <v>41</v>
      </c>
      <c r="D1038" s="59">
        <f>0.16</f>
        <v>0.16</v>
      </c>
    </row>
    <row r="1039" spans="2:4" ht="12.75">
      <c r="B1039" s="54"/>
      <c r="C1039" s="63" t="s">
        <v>58</v>
      </c>
      <c r="D1039" s="59">
        <v>1.65</v>
      </c>
    </row>
    <row r="1040" spans="2:4" ht="12.75">
      <c r="B1040" s="61" t="s">
        <v>19</v>
      </c>
      <c r="C1040" s="61"/>
      <c r="D1040" s="73">
        <v>2.07</v>
      </c>
    </row>
    <row r="1041" spans="2:4" ht="12.75">
      <c r="B1041" s="68" t="s">
        <v>42</v>
      </c>
      <c r="C1041" s="68"/>
      <c r="D1041" s="66">
        <f>7.32+2.76+0.1</f>
        <v>10.18</v>
      </c>
    </row>
    <row r="1042" spans="2:4" ht="12.75">
      <c r="B1042" s="54"/>
      <c r="C1042" s="40" t="s">
        <v>21</v>
      </c>
      <c r="D1042" s="66">
        <f>D1029+D1030+D1034+D1040+D1041</f>
        <v>81.25999999999999</v>
      </c>
    </row>
    <row r="1043" spans="2:4" ht="12.75">
      <c r="B1043" s="55">
        <v>5</v>
      </c>
      <c r="C1043" s="60" t="s">
        <v>9</v>
      </c>
      <c r="D1043" s="66">
        <f>D1042-D1026/1000</f>
        <v>12.258729999999986</v>
      </c>
    </row>
    <row r="1044" spans="2:4" ht="12.75">
      <c r="B1044" s="69"/>
      <c r="C1044" s="69"/>
      <c r="D1044" s="69"/>
    </row>
    <row r="1045" spans="2:4" ht="12.75">
      <c r="B1045" s="70" t="s">
        <v>47</v>
      </c>
      <c r="C1045" s="70"/>
      <c r="D1045" s="70"/>
    </row>
    <row r="1047" spans="2:4" ht="12.75">
      <c r="B1047" s="53" t="s">
        <v>0</v>
      </c>
      <c r="C1047" s="53"/>
      <c r="D1047" s="53"/>
    </row>
    <row r="1048" spans="2:4" ht="12.75">
      <c r="B1048" s="53" t="s">
        <v>30</v>
      </c>
      <c r="C1048" s="53"/>
      <c r="D1048" s="53"/>
    </row>
    <row r="1049" spans="2:4" ht="12.75">
      <c r="B1049" s="53" t="s">
        <v>81</v>
      </c>
      <c r="C1049" s="53"/>
      <c r="D1049" s="53"/>
    </row>
    <row r="1050" spans="2:4" ht="12.75">
      <c r="B1050" s="54"/>
      <c r="C1050" s="54" t="s">
        <v>3</v>
      </c>
      <c r="D1050" s="55" t="s">
        <v>4</v>
      </c>
    </row>
    <row r="1051" spans="2:4" ht="12.75">
      <c r="B1051" s="55">
        <v>1</v>
      </c>
      <c r="C1051" s="56" t="s">
        <v>5</v>
      </c>
      <c r="D1051" s="54">
        <v>3036.49</v>
      </c>
    </row>
    <row r="1052" spans="2:4" ht="12.75">
      <c r="B1052" s="55">
        <v>2</v>
      </c>
      <c r="C1052" s="55" t="s">
        <v>32</v>
      </c>
      <c r="D1052" s="54"/>
    </row>
    <row r="1053" spans="2:4" ht="12.75">
      <c r="B1053" s="55"/>
      <c r="C1053" s="54" t="s">
        <v>7</v>
      </c>
      <c r="D1053" s="54">
        <v>2043.82</v>
      </c>
    </row>
    <row r="1054" spans="2:4" ht="12.75">
      <c r="B1054" s="55"/>
      <c r="C1054" s="54" t="s">
        <v>33</v>
      </c>
      <c r="D1054" s="59">
        <v>1633.5</v>
      </c>
    </row>
    <row r="1055" spans="2:4" ht="12.75">
      <c r="B1055" s="55"/>
      <c r="C1055" s="54" t="s">
        <v>9</v>
      </c>
      <c r="D1055" s="54">
        <f>D1054-D1053</f>
        <v>-410.31999999999994</v>
      </c>
    </row>
    <row r="1056" spans="2:4" ht="12.75">
      <c r="B1056" s="55">
        <v>3</v>
      </c>
      <c r="C1056" s="58" t="s">
        <v>53</v>
      </c>
      <c r="D1056" s="54"/>
    </row>
    <row r="1057" spans="2:4" ht="12.75">
      <c r="B1057" s="55"/>
      <c r="C1057" s="54" t="s">
        <v>7</v>
      </c>
      <c r="D1057" s="59">
        <v>616627.61</v>
      </c>
    </row>
    <row r="1058" spans="2:4" ht="12.75">
      <c r="B1058" s="55"/>
      <c r="C1058" s="54" t="s">
        <v>8</v>
      </c>
      <c r="D1058" s="59">
        <v>610219.41</v>
      </c>
    </row>
    <row r="1059" spans="2:4" ht="12.75">
      <c r="B1059" s="55"/>
      <c r="C1059" s="54" t="s">
        <v>9</v>
      </c>
      <c r="D1059" s="59">
        <f>D1058-D1057</f>
        <v>-6408.199999999953</v>
      </c>
    </row>
    <row r="1060" spans="2:4" ht="12.75">
      <c r="B1060" s="55">
        <v>4</v>
      </c>
      <c r="C1060" s="60" t="s">
        <v>10</v>
      </c>
      <c r="D1060" s="55" t="s">
        <v>11</v>
      </c>
    </row>
    <row r="1061" spans="2:4" ht="12.75">
      <c r="B1061" s="61" t="s">
        <v>14</v>
      </c>
      <c r="C1061" s="61"/>
      <c r="D1061" s="57">
        <v>83.24</v>
      </c>
    </row>
    <row r="1062" spans="2:4" ht="12.75" customHeight="1">
      <c r="B1062" s="62" t="s">
        <v>34</v>
      </c>
      <c r="C1062" s="62"/>
      <c r="D1062" s="55">
        <f>D1063+D1064+D1065</f>
        <v>160.25</v>
      </c>
    </row>
    <row r="1063" spans="2:4" ht="12.75">
      <c r="B1063" s="54"/>
      <c r="C1063" s="63" t="s">
        <v>35</v>
      </c>
      <c r="D1063" s="59">
        <v>117.59</v>
      </c>
    </row>
    <row r="1064" spans="2:4" ht="12.75">
      <c r="B1064" s="54"/>
      <c r="C1064" s="63" t="s">
        <v>36</v>
      </c>
      <c r="D1064" s="72">
        <v>40.26</v>
      </c>
    </row>
    <row r="1065" spans="2:4" ht="12.75">
      <c r="B1065" s="61" t="s">
        <v>37</v>
      </c>
      <c r="C1065" s="61"/>
      <c r="D1065" s="72">
        <v>2.4</v>
      </c>
    </row>
    <row r="1066" spans="2:4" ht="12.75" customHeight="1">
      <c r="B1066" s="65" t="s">
        <v>38</v>
      </c>
      <c r="C1066" s="65"/>
      <c r="D1066" s="66">
        <f>D1067+D1069+D1070+D1068</f>
        <v>125.66999999999999</v>
      </c>
    </row>
    <row r="1067" spans="2:4" ht="12.75">
      <c r="B1067" s="54"/>
      <c r="C1067" s="63" t="s">
        <v>15</v>
      </c>
      <c r="D1067" s="54">
        <f>71.77+14.5+6.3+9.3+2.52+2.75+2+0.71+2.56</f>
        <v>112.40999999999998</v>
      </c>
    </row>
    <row r="1068" spans="2:4" ht="12.75">
      <c r="B1068" s="54"/>
      <c r="C1068" s="63" t="s">
        <v>39</v>
      </c>
      <c r="D1068" s="59">
        <v>7.16</v>
      </c>
    </row>
    <row r="1069" spans="2:4" ht="12.75">
      <c r="B1069" s="54"/>
      <c r="C1069" s="67" t="s">
        <v>40</v>
      </c>
      <c r="D1069" s="59">
        <v>4.42</v>
      </c>
    </row>
    <row r="1070" spans="2:4" ht="12.75">
      <c r="B1070" s="54"/>
      <c r="C1070" s="63" t="s">
        <v>41</v>
      </c>
      <c r="D1070" s="59">
        <f>0.3+1.38</f>
        <v>1.68</v>
      </c>
    </row>
    <row r="1071" spans="2:4" ht="12.75">
      <c r="B1071" s="61" t="s">
        <v>19</v>
      </c>
      <c r="C1071" s="61"/>
      <c r="D1071" s="73">
        <v>18.3</v>
      </c>
    </row>
    <row r="1072" spans="2:4" ht="12.75">
      <c r="B1072" s="68" t="s">
        <v>42</v>
      </c>
      <c r="C1072" s="68"/>
      <c r="D1072" s="55">
        <f>46.46+17.51+0.82</f>
        <v>64.78999999999999</v>
      </c>
    </row>
    <row r="1073" spans="2:4" ht="12.75">
      <c r="B1073" s="68" t="s">
        <v>54</v>
      </c>
      <c r="C1073" s="68"/>
      <c r="D1073" s="55">
        <v>16.55</v>
      </c>
    </row>
    <row r="1074" spans="2:4" ht="12.75">
      <c r="B1074" s="54"/>
      <c r="C1074" s="40" t="s">
        <v>21</v>
      </c>
      <c r="D1074" s="66">
        <f>D1061+D1062+D1066+D1071+D1072+D1073</f>
        <v>468.8</v>
      </c>
    </row>
    <row r="1075" spans="2:4" ht="12.75">
      <c r="B1075" s="55">
        <v>5</v>
      </c>
      <c r="C1075" s="60" t="s">
        <v>9</v>
      </c>
      <c r="D1075" s="66">
        <f>D1074-D1058/1000</f>
        <v>-141.41941000000003</v>
      </c>
    </row>
    <row r="1076" spans="2:4" ht="12.75">
      <c r="B1076" s="69"/>
      <c r="C1076" s="69"/>
      <c r="D1076" s="69"/>
    </row>
    <row r="1077" spans="2:4" ht="12.75">
      <c r="B1077" s="70" t="s">
        <v>82</v>
      </c>
      <c r="C1077" s="70"/>
      <c r="D1077" s="70"/>
    </row>
    <row r="1079" spans="2:4" ht="12.75">
      <c r="B1079" s="53" t="s">
        <v>0</v>
      </c>
      <c r="C1079" s="53"/>
      <c r="D1079" s="53"/>
    </row>
    <row r="1080" spans="2:4" ht="12.75">
      <c r="B1080" s="53" t="s">
        <v>30</v>
      </c>
      <c r="C1080" s="53"/>
      <c r="D1080" s="53"/>
    </row>
    <row r="1081" spans="2:4" ht="12.75">
      <c r="B1081" s="53" t="s">
        <v>83</v>
      </c>
      <c r="C1081" s="53"/>
      <c r="D1081" s="53"/>
    </row>
    <row r="1082" spans="2:4" ht="12.75">
      <c r="B1082" s="54"/>
      <c r="C1082" s="54" t="s">
        <v>3</v>
      </c>
      <c r="D1082" s="55" t="s">
        <v>4</v>
      </c>
    </row>
    <row r="1083" spans="2:4" ht="12.75">
      <c r="B1083" s="55">
        <v>1</v>
      </c>
      <c r="C1083" s="56" t="s">
        <v>5</v>
      </c>
      <c r="D1083" s="54">
        <v>2865.8</v>
      </c>
    </row>
    <row r="1084" spans="2:4" ht="12.75">
      <c r="B1084" s="55">
        <v>2</v>
      </c>
      <c r="C1084" s="55" t="s">
        <v>32</v>
      </c>
      <c r="D1084" s="54"/>
    </row>
    <row r="1085" spans="2:4" ht="12.75">
      <c r="B1085" s="54"/>
      <c r="C1085" s="54" t="s">
        <v>7</v>
      </c>
      <c r="D1085" s="59">
        <v>468</v>
      </c>
    </row>
    <row r="1086" spans="2:4" ht="12.75">
      <c r="B1086" s="54"/>
      <c r="C1086" s="54" t="s">
        <v>33</v>
      </c>
      <c r="D1086" s="59">
        <v>1632.08</v>
      </c>
    </row>
    <row r="1087" spans="2:4" ht="12.75">
      <c r="B1087" s="54"/>
      <c r="C1087" s="54" t="s">
        <v>9</v>
      </c>
      <c r="D1087" s="54">
        <f>D1086-D1085</f>
        <v>1164.08</v>
      </c>
    </row>
    <row r="1088" spans="2:4" ht="12.75">
      <c r="B1088" s="55">
        <v>3</v>
      </c>
      <c r="C1088" s="58" t="s">
        <v>6</v>
      </c>
      <c r="D1088" s="54"/>
    </row>
    <row r="1089" spans="2:4" ht="12.75">
      <c r="B1089" s="55"/>
      <c r="C1089" s="54" t="s">
        <v>7</v>
      </c>
      <c r="D1089" s="59">
        <v>502314.88</v>
      </c>
    </row>
    <row r="1090" spans="2:4" ht="12.75">
      <c r="B1090" s="55"/>
      <c r="C1090" s="54" t="s">
        <v>8</v>
      </c>
      <c r="D1090" s="59">
        <v>504245.96</v>
      </c>
    </row>
    <row r="1091" spans="2:4" ht="12.75">
      <c r="B1091" s="55"/>
      <c r="C1091" s="54" t="s">
        <v>9</v>
      </c>
      <c r="D1091" s="59">
        <f>D1090-D1089</f>
        <v>1931.0800000000163</v>
      </c>
    </row>
    <row r="1092" spans="2:4" ht="12.75">
      <c r="B1092" s="55">
        <v>4</v>
      </c>
      <c r="C1092" s="60" t="s">
        <v>10</v>
      </c>
      <c r="D1092" s="55" t="s">
        <v>11</v>
      </c>
    </row>
    <row r="1093" spans="2:4" ht="12.75">
      <c r="B1093" s="61" t="s">
        <v>14</v>
      </c>
      <c r="C1093" s="61"/>
      <c r="D1093" s="59">
        <v>67.81</v>
      </c>
    </row>
    <row r="1094" spans="2:4" ht="12.75" customHeight="1">
      <c r="B1094" s="62" t="s">
        <v>34</v>
      </c>
      <c r="C1094" s="62"/>
      <c r="D1094" s="55">
        <f>D1095+D1096+D1097</f>
        <v>163.82999999999998</v>
      </c>
    </row>
    <row r="1095" spans="2:4" ht="12.75">
      <c r="B1095" s="54"/>
      <c r="C1095" s="63" t="s">
        <v>35</v>
      </c>
      <c r="D1095" s="59">
        <v>110.92</v>
      </c>
    </row>
    <row r="1096" spans="2:4" ht="12.75">
      <c r="B1096" s="54"/>
      <c r="C1096" s="63" t="s">
        <v>36</v>
      </c>
      <c r="D1096" s="64">
        <v>52.91</v>
      </c>
    </row>
    <row r="1097" spans="2:4" ht="12.75">
      <c r="B1097" s="61" t="s">
        <v>37</v>
      </c>
      <c r="C1097" s="61"/>
      <c r="D1097" s="72">
        <v>0</v>
      </c>
    </row>
    <row r="1098" spans="2:4" ht="12.75" customHeight="1">
      <c r="B1098" s="65" t="s">
        <v>38</v>
      </c>
      <c r="C1098" s="65"/>
      <c r="D1098" s="66">
        <f>D1099+D1101+D1102+D1100</f>
        <v>90.96999999999998</v>
      </c>
    </row>
    <row r="1099" spans="2:4" ht="12.75">
      <c r="B1099" s="54"/>
      <c r="C1099" s="63" t="s">
        <v>15</v>
      </c>
      <c r="D1099" s="54">
        <f>48.48+9.8+4.26+6.28+2.85+2.5+0.74+2.35</f>
        <v>77.25999999999998</v>
      </c>
    </row>
    <row r="1100" spans="2:4" ht="12.75">
      <c r="B1100" s="54"/>
      <c r="C1100" s="63" t="s">
        <v>39</v>
      </c>
      <c r="D1100" s="59">
        <v>7.12</v>
      </c>
    </row>
    <row r="1101" spans="2:4" ht="12.75">
      <c r="B1101" s="54"/>
      <c r="C1101" s="67" t="s">
        <v>40</v>
      </c>
      <c r="D1101" s="59">
        <v>0</v>
      </c>
    </row>
    <row r="1102" spans="2:4" ht="12.75">
      <c r="B1102" s="54"/>
      <c r="C1102" s="63" t="s">
        <v>41</v>
      </c>
      <c r="D1102" s="59">
        <f>0.26+1.2+5.13</f>
        <v>6.59</v>
      </c>
    </row>
    <row r="1103" spans="2:4" ht="12.75">
      <c r="B1103" s="61" t="s">
        <v>19</v>
      </c>
      <c r="C1103" s="61"/>
      <c r="D1103" s="73">
        <v>15.13</v>
      </c>
    </row>
    <row r="1104" spans="2:4" ht="12.75">
      <c r="B1104" s="68" t="s">
        <v>42</v>
      </c>
      <c r="C1104" s="68"/>
      <c r="D1104" s="66">
        <f>43.85+16.52+0.7</f>
        <v>61.07000000000001</v>
      </c>
    </row>
    <row r="1105" spans="2:4" ht="12.75">
      <c r="B1105" s="54"/>
      <c r="C1105" s="40" t="s">
        <v>21</v>
      </c>
      <c r="D1105" s="66">
        <f>D1093+D1094+D1098+D1103+D1104</f>
        <v>398.80999999999995</v>
      </c>
    </row>
    <row r="1106" spans="2:4" ht="12.75">
      <c r="B1106" s="55">
        <v>5</v>
      </c>
      <c r="C1106" s="60" t="s">
        <v>9</v>
      </c>
      <c r="D1106" s="66">
        <f>D1105-D1090/1000</f>
        <v>-105.43596000000008</v>
      </c>
    </row>
    <row r="1107" spans="2:4" ht="12.75">
      <c r="B1107" s="69"/>
      <c r="C1107" s="69"/>
      <c r="D1107" s="69"/>
    </row>
    <row r="1108" spans="2:4" ht="12.75">
      <c r="B1108" s="70" t="s">
        <v>47</v>
      </c>
      <c r="C1108" s="70"/>
      <c r="D1108" s="70"/>
    </row>
    <row r="1110" spans="2:4" ht="12.75">
      <c r="B1110" s="53" t="s">
        <v>0</v>
      </c>
      <c r="C1110" s="53"/>
      <c r="D1110" s="53"/>
    </row>
    <row r="1111" spans="2:4" ht="12.75">
      <c r="B1111" s="53" t="s">
        <v>30</v>
      </c>
      <c r="C1111" s="53"/>
      <c r="D1111" s="53"/>
    </row>
    <row r="1112" spans="2:4" ht="12.75">
      <c r="B1112" s="53" t="s">
        <v>84</v>
      </c>
      <c r="C1112" s="53"/>
      <c r="D1112" s="53"/>
    </row>
    <row r="1113" spans="2:4" ht="12.75">
      <c r="B1113" s="54"/>
      <c r="C1113" s="54" t="s">
        <v>3</v>
      </c>
      <c r="D1113" s="55" t="s">
        <v>4</v>
      </c>
    </row>
    <row r="1114" spans="2:4" ht="12.75">
      <c r="B1114" s="55">
        <v>1</v>
      </c>
      <c r="C1114" s="56" t="s">
        <v>5</v>
      </c>
      <c r="D1114" s="54">
        <v>2631.28</v>
      </c>
    </row>
    <row r="1115" spans="2:4" ht="12.75">
      <c r="B1115" s="55">
        <v>2</v>
      </c>
      <c r="C1115" s="55" t="s">
        <v>32</v>
      </c>
      <c r="D1115" s="54"/>
    </row>
    <row r="1116" spans="2:4" ht="12.75">
      <c r="B1116" s="54"/>
      <c r="C1116" s="54" t="s">
        <v>7</v>
      </c>
      <c r="D1116" s="59">
        <v>0</v>
      </c>
    </row>
    <row r="1117" spans="2:4" ht="12.75">
      <c r="B1117" s="54"/>
      <c r="C1117" s="54" t="s">
        <v>33</v>
      </c>
      <c r="D1117" s="59">
        <v>1778.24</v>
      </c>
    </row>
    <row r="1118" spans="2:4" ht="12.75">
      <c r="B1118" s="54"/>
      <c r="C1118" s="54" t="s">
        <v>9</v>
      </c>
      <c r="D1118" s="54">
        <f>D1117-D1116</f>
        <v>1778.24</v>
      </c>
    </row>
    <row r="1119" spans="2:4" ht="12.75">
      <c r="B1119" s="55">
        <v>3</v>
      </c>
      <c r="C1119" s="58" t="s">
        <v>6</v>
      </c>
      <c r="D1119" s="54"/>
    </row>
    <row r="1120" spans="2:4" ht="12.75">
      <c r="B1120" s="55"/>
      <c r="C1120" s="54" t="s">
        <v>7</v>
      </c>
      <c r="D1120" s="59">
        <v>488156.91</v>
      </c>
    </row>
    <row r="1121" spans="2:4" ht="12.75">
      <c r="B1121" s="55"/>
      <c r="C1121" s="54" t="s">
        <v>8</v>
      </c>
      <c r="D1121" s="59">
        <v>459767.88</v>
      </c>
    </row>
    <row r="1122" spans="2:4" ht="12.75">
      <c r="B1122" s="55"/>
      <c r="C1122" s="54" t="s">
        <v>9</v>
      </c>
      <c r="D1122" s="59">
        <f>D1121-D1120</f>
        <v>-28389.02999999997</v>
      </c>
    </row>
    <row r="1123" spans="2:4" ht="12.75">
      <c r="B1123" s="55">
        <v>4</v>
      </c>
      <c r="C1123" s="60" t="s">
        <v>10</v>
      </c>
      <c r="D1123" s="55" t="s">
        <v>11</v>
      </c>
    </row>
    <row r="1124" spans="2:4" ht="12.75">
      <c r="B1124" s="61" t="s">
        <v>14</v>
      </c>
      <c r="C1124" s="61"/>
      <c r="D1124" s="59">
        <v>65.9</v>
      </c>
    </row>
    <row r="1125" spans="2:4" ht="12.75" customHeight="1">
      <c r="B1125" s="62" t="s">
        <v>34</v>
      </c>
      <c r="C1125" s="62"/>
      <c r="D1125" s="55">
        <f>D1126+D1127+D1128</f>
        <v>203.35</v>
      </c>
    </row>
    <row r="1126" spans="2:4" ht="12.75">
      <c r="B1126" s="54"/>
      <c r="C1126" s="63" t="s">
        <v>35</v>
      </c>
      <c r="D1126" s="59">
        <v>101.85</v>
      </c>
    </row>
    <row r="1127" spans="2:4" ht="12.75">
      <c r="B1127" s="54"/>
      <c r="C1127" s="63" t="s">
        <v>36</v>
      </c>
      <c r="D1127" s="64">
        <v>101.5</v>
      </c>
    </row>
    <row r="1128" spans="2:4" ht="12.75">
      <c r="B1128" s="61" t="s">
        <v>37</v>
      </c>
      <c r="C1128" s="61"/>
      <c r="D1128" s="72">
        <v>0</v>
      </c>
    </row>
    <row r="1129" spans="2:4" ht="12.75" customHeight="1">
      <c r="B1129" s="65" t="s">
        <v>38</v>
      </c>
      <c r="C1129" s="65"/>
      <c r="D1129" s="66">
        <f>D1130+D1132+D1133+D1131</f>
        <v>100.53999999999999</v>
      </c>
    </row>
    <row r="1130" spans="2:4" ht="12.75">
      <c r="B1130" s="54"/>
      <c r="C1130" s="63" t="s">
        <v>15</v>
      </c>
      <c r="D1130" s="54">
        <f>56.82+11.48+5+7.36+2.6+0.67+0.94+2.16</f>
        <v>87.02999999999999</v>
      </c>
    </row>
    <row r="1131" spans="2:4" ht="12.75">
      <c r="B1131" s="54"/>
      <c r="C1131" s="63" t="s">
        <v>39</v>
      </c>
      <c r="D1131" s="59">
        <v>7.92</v>
      </c>
    </row>
    <row r="1132" spans="2:4" ht="12.75">
      <c r="B1132" s="54"/>
      <c r="C1132" s="67" t="s">
        <v>40</v>
      </c>
      <c r="D1132" s="59">
        <v>0.2</v>
      </c>
    </row>
    <row r="1133" spans="2:4" ht="12.75">
      <c r="B1133" s="54"/>
      <c r="C1133" s="63" t="s">
        <v>41</v>
      </c>
      <c r="D1133" s="59">
        <f>0.24+1.1+4.05</f>
        <v>5.39</v>
      </c>
    </row>
    <row r="1134" spans="2:4" ht="12.75">
      <c r="B1134" s="61" t="s">
        <v>19</v>
      </c>
      <c r="C1134" s="61"/>
      <c r="D1134" s="73">
        <v>13.8</v>
      </c>
    </row>
    <row r="1135" spans="2:4" ht="12.75">
      <c r="B1135" s="68" t="s">
        <v>42</v>
      </c>
      <c r="C1135" s="68"/>
      <c r="D1135" s="66">
        <f>40.26+15.17+0.66</f>
        <v>56.089999999999996</v>
      </c>
    </row>
    <row r="1136" spans="2:4" ht="12.75">
      <c r="B1136" s="54"/>
      <c r="C1136" s="40" t="s">
        <v>21</v>
      </c>
      <c r="D1136" s="66">
        <f>D1124+D1125+D1129+D1134+D1135</f>
        <v>439.67999999999995</v>
      </c>
    </row>
    <row r="1137" spans="2:4" ht="12.75">
      <c r="B1137" s="55">
        <v>5</v>
      </c>
      <c r="C1137" s="60" t="s">
        <v>9</v>
      </c>
      <c r="D1137" s="66">
        <f>D1136-D1121/1000</f>
        <v>-20.08788000000004</v>
      </c>
    </row>
    <row r="1138" spans="2:4" ht="12.75">
      <c r="B1138" s="69"/>
      <c r="C1138" s="69"/>
      <c r="D1138" s="69"/>
    </row>
    <row r="1139" spans="2:4" ht="12.75">
      <c r="B1139" s="70" t="s">
        <v>47</v>
      </c>
      <c r="C1139" s="70"/>
      <c r="D1139" s="70"/>
    </row>
    <row r="1141" spans="2:5" ht="13.5" customHeight="1">
      <c r="B1141" s="53" t="s">
        <v>0</v>
      </c>
      <c r="C1141" s="53"/>
      <c r="D1141" s="53"/>
      <c r="E1141" s="22"/>
    </row>
    <row r="1142" spans="2:5" ht="12.75">
      <c r="B1142" s="53" t="s">
        <v>30</v>
      </c>
      <c r="C1142" s="53"/>
      <c r="D1142" s="53"/>
      <c r="E1142" s="22"/>
    </row>
    <row r="1143" spans="2:5" ht="12.75">
      <c r="B1143" s="53" t="s">
        <v>85</v>
      </c>
      <c r="C1143" s="53"/>
      <c r="D1143" s="53"/>
      <c r="E1143" s="22"/>
    </row>
    <row r="1144" spans="2:5" ht="49.5" customHeight="1">
      <c r="B1144" s="54"/>
      <c r="C1144" s="54" t="s">
        <v>3</v>
      </c>
      <c r="D1144" s="55" t="s">
        <v>4</v>
      </c>
      <c r="E1144" s="74" t="s">
        <v>86</v>
      </c>
    </row>
    <row r="1145" spans="2:5" ht="12.75">
      <c r="B1145" s="55">
        <v>1</v>
      </c>
      <c r="C1145" s="56" t="s">
        <v>5</v>
      </c>
      <c r="D1145" s="54">
        <v>3599.08</v>
      </c>
      <c r="E1145" s="22"/>
    </row>
    <row r="1146" spans="2:5" ht="12.75">
      <c r="B1146" s="55">
        <v>2</v>
      </c>
      <c r="C1146" s="58" t="s">
        <v>87</v>
      </c>
      <c r="D1146" s="54"/>
      <c r="E1146" s="22"/>
    </row>
    <row r="1147" spans="2:5" ht="12.75">
      <c r="B1147" s="54"/>
      <c r="C1147" s="54" t="s">
        <v>7</v>
      </c>
      <c r="D1147" s="59">
        <v>0</v>
      </c>
      <c r="E1147" s="22"/>
    </row>
    <row r="1148" spans="2:5" ht="12.75">
      <c r="B1148" s="54"/>
      <c r="C1148" s="54" t="s">
        <v>33</v>
      </c>
      <c r="D1148" s="59">
        <v>358.5</v>
      </c>
      <c r="E1148" s="22"/>
    </row>
    <row r="1149" spans="2:5" ht="12.75">
      <c r="B1149" s="54"/>
      <c r="C1149" s="54" t="s">
        <v>9</v>
      </c>
      <c r="D1149" s="59">
        <f>D1148-D1147</f>
        <v>358.5</v>
      </c>
      <c r="E1149" s="22"/>
    </row>
    <row r="1150" spans="2:5" ht="12.75">
      <c r="B1150" s="55">
        <v>3</v>
      </c>
      <c r="C1150" s="58" t="s">
        <v>6</v>
      </c>
      <c r="D1150" s="54"/>
      <c r="E1150" s="22"/>
    </row>
    <row r="1151" spans="2:5" ht="12.75">
      <c r="B1151" s="55"/>
      <c r="C1151" s="54" t="s">
        <v>7</v>
      </c>
      <c r="D1151" s="59">
        <v>645820.35</v>
      </c>
      <c r="E1151" s="22"/>
    </row>
    <row r="1152" spans="2:5" ht="12.75">
      <c r="B1152" s="55"/>
      <c r="C1152" s="54" t="s">
        <v>8</v>
      </c>
      <c r="D1152" s="59">
        <v>660479.76</v>
      </c>
      <c r="E1152" s="22"/>
    </row>
    <row r="1153" spans="2:5" ht="12.75">
      <c r="B1153" s="55"/>
      <c r="C1153" s="54" t="s">
        <v>9</v>
      </c>
      <c r="D1153" s="59">
        <f>D1152-D1151</f>
        <v>14659.410000000033</v>
      </c>
      <c r="E1153" s="22"/>
    </row>
    <row r="1154" spans="2:5" ht="12.75">
      <c r="B1154" s="55">
        <v>4</v>
      </c>
      <c r="C1154" s="60" t="s">
        <v>10</v>
      </c>
      <c r="D1154" s="55" t="s">
        <v>11</v>
      </c>
      <c r="E1154" s="22"/>
    </row>
    <row r="1155" spans="2:6" ht="41.25" customHeight="1">
      <c r="B1155" s="61" t="s">
        <v>14</v>
      </c>
      <c r="C1155" s="61"/>
      <c r="D1155" s="59">
        <v>87.2</v>
      </c>
      <c r="E1155" s="75">
        <f>D1155/3599.08*1000</f>
        <v>24.228413928003825</v>
      </c>
      <c r="F1155" s="76" t="s">
        <v>88</v>
      </c>
    </row>
    <row r="1156" spans="2:5" ht="12.75" customHeight="1">
      <c r="B1156" s="62" t="s">
        <v>34</v>
      </c>
      <c r="C1156" s="62"/>
      <c r="D1156" s="55">
        <f>D1157+D1158+D1159</f>
        <v>214.7</v>
      </c>
      <c r="E1156" s="75">
        <f>D1156/3599.08*1000</f>
        <v>59.65413383420207</v>
      </c>
    </row>
    <row r="1157" spans="2:5" ht="12.75">
      <c r="B1157" s="54"/>
      <c r="C1157" s="63" t="s">
        <v>35</v>
      </c>
      <c r="D1157" s="59">
        <v>139.33</v>
      </c>
      <c r="E1157" s="77">
        <f>D1157/3599.08*1000</f>
        <v>38.7126710159263</v>
      </c>
    </row>
    <row r="1158" spans="2:5" ht="12.75">
      <c r="B1158" s="54"/>
      <c r="C1158" s="63" t="s">
        <v>36</v>
      </c>
      <c r="D1158" s="64">
        <v>74.17</v>
      </c>
      <c r="E1158" s="77">
        <f>D1158/3599.08*1000</f>
        <v>20.60804427798215</v>
      </c>
    </row>
    <row r="1159" spans="2:5" ht="12.75">
      <c r="B1159" s="61" t="s">
        <v>37</v>
      </c>
      <c r="C1159" s="61"/>
      <c r="D1159" s="72">
        <v>1.2</v>
      </c>
      <c r="E1159" s="77">
        <f>D1159/3599.08*1000</f>
        <v>0.33341854029363055</v>
      </c>
    </row>
    <row r="1160" spans="2:5" ht="12.75" customHeight="1">
      <c r="B1160" s="65" t="s">
        <v>38</v>
      </c>
      <c r="C1160" s="65"/>
      <c r="D1160" s="66">
        <f>D1161+D1163+D1164+D1162</f>
        <v>141.10000000000002</v>
      </c>
      <c r="E1160" s="75">
        <f>D1160/3599.08*1000</f>
        <v>39.20446336285941</v>
      </c>
    </row>
    <row r="1161" spans="2:5" ht="12.75">
      <c r="B1161" s="54"/>
      <c r="C1161" s="63" t="s">
        <v>15</v>
      </c>
      <c r="D1161" s="54">
        <f>79.3+16.02+6.97+10.27+0.4+3.45+2+0.89+6.4+2.98</f>
        <v>128.68</v>
      </c>
      <c r="E1161" s="77">
        <f>D1161/3599.08*1000</f>
        <v>35.75358147082033</v>
      </c>
    </row>
    <row r="1162" spans="2:5" ht="12.75">
      <c r="B1162" s="54"/>
      <c r="C1162" s="63" t="s">
        <v>39</v>
      </c>
      <c r="D1162" s="59">
        <v>10.52</v>
      </c>
      <c r="E1162" s="77">
        <f>D1162/3599.08*1000</f>
        <v>2.9229692032408283</v>
      </c>
    </row>
    <row r="1163" spans="2:5" ht="12.75">
      <c r="B1163" s="54"/>
      <c r="C1163" s="67" t="s">
        <v>40</v>
      </c>
      <c r="D1163" s="59">
        <v>0</v>
      </c>
      <c r="E1163" s="77">
        <f>D1163/3599.08*1000</f>
        <v>0</v>
      </c>
    </row>
    <row r="1164" spans="2:5" ht="12.75">
      <c r="B1164" s="54"/>
      <c r="C1164" s="63" t="s">
        <v>41</v>
      </c>
      <c r="D1164" s="59">
        <f>0.34+1.56</f>
        <v>1.9000000000000001</v>
      </c>
      <c r="E1164" s="77">
        <f>D1164/3599.08*1000</f>
        <v>0.5279126887982485</v>
      </c>
    </row>
    <row r="1165" spans="2:5" ht="12.75">
      <c r="B1165" s="61" t="s">
        <v>19</v>
      </c>
      <c r="C1165" s="61"/>
      <c r="D1165" s="73">
        <v>19.81</v>
      </c>
      <c r="E1165" s="75">
        <f>D1165/3599.08*1000</f>
        <v>5.504184402680685</v>
      </c>
    </row>
    <row r="1166" spans="2:5" ht="12.75">
      <c r="B1166" s="68" t="s">
        <v>42</v>
      </c>
      <c r="C1166" s="68"/>
      <c r="D1166" s="66">
        <f>55.07+20.75+0.92</f>
        <v>76.74</v>
      </c>
      <c r="E1166" s="75">
        <f>D1166/3599.08*1000</f>
        <v>21.322115651777676</v>
      </c>
    </row>
    <row r="1167" spans="2:5" ht="12.75">
      <c r="B1167" s="54"/>
      <c r="C1167" s="40" t="s">
        <v>21</v>
      </c>
      <c r="D1167" s="66">
        <f>D1155+D1156+D1160+D1165+D1166</f>
        <v>539.55</v>
      </c>
      <c r="E1167" s="75">
        <f>D1167/3599.08*1000</f>
        <v>149.91331117952365</v>
      </c>
    </row>
    <row r="1168" spans="2:5" ht="12.75">
      <c r="B1168" s="55">
        <v>5</v>
      </c>
      <c r="C1168" s="60" t="s">
        <v>9</v>
      </c>
      <c r="D1168" s="66">
        <f>D1167-D1152/1000</f>
        <v>-120.9297600000001</v>
      </c>
      <c r="E1168" s="75">
        <f>D1168/3599.08*1000</f>
        <v>-33.600186714382595</v>
      </c>
    </row>
    <row r="1169" spans="2:4" ht="12.75">
      <c r="B1169" s="69"/>
      <c r="C1169" s="69"/>
      <c r="D1169" s="69"/>
    </row>
    <row r="1170" spans="2:4" ht="12.75">
      <c r="B1170" s="70" t="s">
        <v>47</v>
      </c>
      <c r="C1170" s="70"/>
      <c r="D1170" s="70"/>
    </row>
    <row r="1172" spans="2:4" ht="12.75">
      <c r="B1172" s="53" t="s">
        <v>0</v>
      </c>
      <c r="C1172" s="53"/>
      <c r="D1172" s="53"/>
    </row>
    <row r="1173" spans="2:4" ht="12.75">
      <c r="B1173" s="53" t="s">
        <v>30</v>
      </c>
      <c r="C1173" s="53"/>
      <c r="D1173" s="53"/>
    </row>
    <row r="1174" spans="2:4" ht="12.75">
      <c r="B1174" s="53" t="s">
        <v>89</v>
      </c>
      <c r="C1174" s="53"/>
      <c r="D1174" s="53"/>
    </row>
    <row r="1175" spans="2:4" ht="12.75">
      <c r="B1175" s="54"/>
      <c r="C1175" s="54" t="s">
        <v>3</v>
      </c>
      <c r="D1175" s="55" t="s">
        <v>4</v>
      </c>
    </row>
    <row r="1176" spans="2:4" ht="12.75">
      <c r="B1176" s="55">
        <v>1</v>
      </c>
      <c r="C1176" s="56" t="s">
        <v>5</v>
      </c>
      <c r="D1176" s="54">
        <v>1483.88</v>
      </c>
    </row>
    <row r="1177" spans="2:4" ht="12.75">
      <c r="B1177" s="55">
        <v>2</v>
      </c>
      <c r="C1177" s="55" t="s">
        <v>32</v>
      </c>
      <c r="D1177" s="54"/>
    </row>
    <row r="1178" spans="2:4" ht="12.75">
      <c r="B1178" s="54"/>
      <c r="C1178" s="54" t="s">
        <v>7</v>
      </c>
      <c r="D1178" s="59">
        <v>0</v>
      </c>
    </row>
    <row r="1179" spans="2:4" ht="12.75">
      <c r="B1179" s="54"/>
      <c r="C1179" s="54" t="s">
        <v>33</v>
      </c>
      <c r="D1179" s="59">
        <v>1193.57</v>
      </c>
    </row>
    <row r="1180" spans="2:4" ht="12.75">
      <c r="B1180" s="54"/>
      <c r="C1180" s="54" t="s">
        <v>9</v>
      </c>
      <c r="D1180" s="59">
        <f>D1179-D1178</f>
        <v>1193.57</v>
      </c>
    </row>
    <row r="1181" spans="2:4" ht="12.75">
      <c r="B1181" s="55">
        <v>3</v>
      </c>
      <c r="C1181" s="58" t="s">
        <v>6</v>
      </c>
      <c r="D1181" s="54"/>
    </row>
    <row r="1182" spans="2:4" ht="12.75">
      <c r="B1182" s="55"/>
      <c r="C1182" s="54" t="s">
        <v>7</v>
      </c>
      <c r="D1182" s="59">
        <v>232029.23</v>
      </c>
    </row>
    <row r="1183" spans="2:4" ht="12.75">
      <c r="B1183" s="55"/>
      <c r="C1183" s="54" t="s">
        <v>8</v>
      </c>
      <c r="D1183" s="59">
        <v>232391</v>
      </c>
    </row>
    <row r="1184" spans="2:4" ht="12.75">
      <c r="B1184" s="55"/>
      <c r="C1184" s="54" t="s">
        <v>9</v>
      </c>
      <c r="D1184" s="59">
        <f>D1183-D1182</f>
        <v>361.7699999999895</v>
      </c>
    </row>
    <row r="1185" spans="2:4" ht="12.75">
      <c r="B1185" s="55">
        <v>4</v>
      </c>
      <c r="C1185" s="60" t="s">
        <v>10</v>
      </c>
      <c r="D1185" s="55" t="s">
        <v>11</v>
      </c>
    </row>
    <row r="1186" spans="2:4" ht="12.75">
      <c r="B1186" s="61" t="s">
        <v>14</v>
      </c>
      <c r="C1186" s="61"/>
      <c r="D1186" s="59">
        <v>31.3</v>
      </c>
    </row>
    <row r="1187" spans="2:4" ht="12.75" customHeight="1">
      <c r="B1187" s="62" t="s">
        <v>34</v>
      </c>
      <c r="C1187" s="62"/>
      <c r="D1187" s="55">
        <f>D1188+D1189+D1190</f>
        <v>79.78</v>
      </c>
    </row>
    <row r="1188" spans="2:4" ht="12.75">
      <c r="B1188" s="54"/>
      <c r="C1188" s="63" t="s">
        <v>35</v>
      </c>
      <c r="D1188" s="59">
        <v>57.4</v>
      </c>
    </row>
    <row r="1189" spans="2:4" ht="12.75">
      <c r="B1189" s="54"/>
      <c r="C1189" s="63" t="s">
        <v>36</v>
      </c>
      <c r="D1189" s="64">
        <v>22.38</v>
      </c>
    </row>
    <row r="1190" spans="2:4" ht="12.75">
      <c r="B1190" s="61" t="s">
        <v>37</v>
      </c>
      <c r="C1190" s="61"/>
      <c r="D1190" s="72">
        <v>0</v>
      </c>
    </row>
    <row r="1191" spans="2:4" ht="12.75" customHeight="1">
      <c r="B1191" s="65" t="s">
        <v>38</v>
      </c>
      <c r="C1191" s="65"/>
      <c r="D1191" s="66">
        <f>D1192+D1194+D1195+D1193</f>
        <v>66.49000000000001</v>
      </c>
    </row>
    <row r="1192" spans="2:4" ht="12.75">
      <c r="B1192" s="54"/>
      <c r="C1192" s="63" t="s">
        <v>15</v>
      </c>
      <c r="D1192" s="54">
        <f>37.29+7.53+3.28+4.83+1.66+0.43+2</f>
        <v>57.02</v>
      </c>
    </row>
    <row r="1193" spans="2:4" ht="12.75">
      <c r="B1193" s="54"/>
      <c r="C1193" s="63" t="s">
        <v>39</v>
      </c>
      <c r="D1193" s="59">
        <v>5.2</v>
      </c>
    </row>
    <row r="1194" spans="2:4" ht="12.75">
      <c r="B1194" s="54"/>
      <c r="C1194" s="67" t="s">
        <v>40</v>
      </c>
      <c r="D1194" s="59">
        <v>0</v>
      </c>
    </row>
    <row r="1195" spans="2:4" ht="12.75">
      <c r="B1195" s="54"/>
      <c r="C1195" s="63" t="s">
        <v>41</v>
      </c>
      <c r="D1195" s="59">
        <f>0.12+0.54+3.61</f>
        <v>4.27</v>
      </c>
    </row>
    <row r="1196" spans="2:4" ht="12.75">
      <c r="B1196" s="61" t="s">
        <v>19</v>
      </c>
      <c r="C1196" s="61"/>
      <c r="D1196" s="73">
        <v>6.97</v>
      </c>
    </row>
    <row r="1197" spans="2:4" ht="12.75">
      <c r="B1197" s="68" t="s">
        <v>42</v>
      </c>
      <c r="C1197" s="68"/>
      <c r="D1197" s="66">
        <f>22.7+8.56+0.32</f>
        <v>31.58</v>
      </c>
    </row>
    <row r="1198" spans="2:4" ht="12.75">
      <c r="B1198" s="54"/>
      <c r="C1198" s="40" t="s">
        <v>21</v>
      </c>
      <c r="D1198" s="66">
        <f>D1186+D1187+D1191+D1196+D1197</f>
        <v>216.12</v>
      </c>
    </row>
    <row r="1199" spans="2:4" ht="12.75">
      <c r="B1199" s="55">
        <v>5</v>
      </c>
      <c r="C1199" s="60" t="s">
        <v>9</v>
      </c>
      <c r="D1199" s="66">
        <f>D1198-D1183/1000</f>
        <v>-16.270999999999987</v>
      </c>
    </row>
    <row r="1200" spans="2:4" ht="12.75">
      <c r="B1200" s="69"/>
      <c r="C1200" s="69"/>
      <c r="D1200" s="69"/>
    </row>
    <row r="1201" spans="2:4" ht="12.75">
      <c r="B1201" s="70" t="s">
        <v>47</v>
      </c>
      <c r="C1201" s="70"/>
      <c r="D1201" s="70"/>
    </row>
    <row r="1204" spans="2:4" ht="12.75">
      <c r="B1204" s="53" t="s">
        <v>0</v>
      </c>
      <c r="C1204" s="53"/>
      <c r="D1204" s="53"/>
    </row>
    <row r="1205" spans="2:4" ht="12.75">
      <c r="B1205" s="53" t="s">
        <v>30</v>
      </c>
      <c r="C1205" s="53"/>
      <c r="D1205" s="53"/>
    </row>
    <row r="1206" spans="2:4" ht="12.75">
      <c r="B1206" s="53" t="s">
        <v>90</v>
      </c>
      <c r="C1206" s="53"/>
      <c r="D1206" s="53"/>
    </row>
    <row r="1207" spans="2:4" ht="12.75">
      <c r="B1207" s="54"/>
      <c r="C1207" s="54" t="s">
        <v>3</v>
      </c>
      <c r="D1207" s="55" t="s">
        <v>4</v>
      </c>
    </row>
    <row r="1208" spans="2:4" ht="12.75">
      <c r="B1208" s="55">
        <v>1</v>
      </c>
      <c r="C1208" s="56" t="s">
        <v>5</v>
      </c>
      <c r="D1208" s="54">
        <v>7769.72</v>
      </c>
    </row>
    <row r="1209" spans="2:4" ht="12.75">
      <c r="B1209" s="55">
        <v>2</v>
      </c>
      <c r="C1209" s="55" t="s">
        <v>32</v>
      </c>
      <c r="D1209" s="54"/>
    </row>
    <row r="1210" spans="2:4" ht="12.75">
      <c r="B1210" s="55"/>
      <c r="C1210" s="54" t="s">
        <v>7</v>
      </c>
      <c r="D1210" s="54">
        <v>3195.82</v>
      </c>
    </row>
    <row r="1211" spans="2:4" ht="12.75">
      <c r="B1211" s="55"/>
      <c r="C1211" s="54" t="s">
        <v>33</v>
      </c>
      <c r="D1211" s="59">
        <v>2832.38</v>
      </c>
    </row>
    <row r="1212" spans="2:4" ht="12.75">
      <c r="B1212" s="55"/>
      <c r="C1212" s="54" t="s">
        <v>9</v>
      </c>
      <c r="D1212" s="54">
        <f>D1211-D1210</f>
        <v>-363.44000000000005</v>
      </c>
    </row>
    <row r="1213" spans="2:4" ht="12.75">
      <c r="B1213" s="55">
        <v>3</v>
      </c>
      <c r="C1213" s="58" t="s">
        <v>91</v>
      </c>
      <c r="D1213" s="54"/>
    </row>
    <row r="1214" spans="2:4" ht="12.75">
      <c r="B1214" s="55"/>
      <c r="C1214" s="54" t="s">
        <v>7</v>
      </c>
      <c r="D1214" s="59">
        <v>1665259.28</v>
      </c>
    </row>
    <row r="1215" spans="2:4" ht="12.75">
      <c r="B1215" s="55"/>
      <c r="C1215" s="54" t="s">
        <v>8</v>
      </c>
      <c r="D1215" s="59">
        <v>1626973.44</v>
      </c>
    </row>
    <row r="1216" spans="2:4" ht="12.75">
      <c r="B1216" s="55"/>
      <c r="C1216" s="54" t="s">
        <v>9</v>
      </c>
      <c r="D1216" s="59">
        <f>D1215-D1214</f>
        <v>-38285.840000000084</v>
      </c>
    </row>
    <row r="1217" spans="2:4" ht="12.75">
      <c r="B1217" s="55">
        <v>4</v>
      </c>
      <c r="C1217" s="60" t="s">
        <v>10</v>
      </c>
      <c r="D1217" s="55" t="s">
        <v>11</v>
      </c>
    </row>
    <row r="1218" spans="2:4" ht="12.75">
      <c r="B1218" s="61" t="s">
        <v>14</v>
      </c>
      <c r="C1218" s="61"/>
      <c r="D1218" s="57">
        <v>224.81</v>
      </c>
    </row>
    <row r="1219" spans="2:4" ht="12.75" customHeight="1">
      <c r="B1219" s="62" t="s">
        <v>34</v>
      </c>
      <c r="C1219" s="62"/>
      <c r="D1219" s="55">
        <f>D1220+D1221+D1222</f>
        <v>878.32</v>
      </c>
    </row>
    <row r="1220" spans="2:4" ht="12.75">
      <c r="B1220" s="54"/>
      <c r="C1220" s="63" t="s">
        <v>35</v>
      </c>
      <c r="D1220" s="59">
        <v>300.88</v>
      </c>
    </row>
    <row r="1221" spans="2:4" ht="12.75">
      <c r="B1221" s="54"/>
      <c r="C1221" s="63" t="s">
        <v>36</v>
      </c>
      <c r="D1221" s="72">
        <f>758.21-205.77</f>
        <v>552.44</v>
      </c>
    </row>
    <row r="1222" spans="2:4" ht="12.75">
      <c r="B1222" s="61" t="s">
        <v>37</v>
      </c>
      <c r="C1222" s="61"/>
      <c r="D1222" s="72">
        <v>25</v>
      </c>
    </row>
    <row r="1223" spans="2:4" ht="12.75" customHeight="1">
      <c r="B1223" s="65" t="s">
        <v>38</v>
      </c>
      <c r="C1223" s="65"/>
      <c r="D1223" s="66">
        <f>D1224+D1226+D1227+D1225</f>
        <v>500.78</v>
      </c>
    </row>
    <row r="1224" spans="2:4" ht="12.75">
      <c r="B1224" s="54"/>
      <c r="C1224" s="63" t="s">
        <v>15</v>
      </c>
      <c r="D1224" s="54">
        <f>286.12+57.8+25.1+37.04+0.4+7.06+1.83+10.31+6.54</f>
        <v>432.20000000000005</v>
      </c>
    </row>
    <row r="1225" spans="2:4" ht="12.75">
      <c r="B1225" s="54"/>
      <c r="C1225" s="63" t="s">
        <v>39</v>
      </c>
      <c r="D1225" s="59">
        <v>4.03</v>
      </c>
    </row>
    <row r="1226" spans="2:4" ht="12.75">
      <c r="B1226" s="54"/>
      <c r="C1226" s="67" t="s">
        <v>40</v>
      </c>
      <c r="D1226" s="59">
        <v>1.9500000000000002</v>
      </c>
    </row>
    <row r="1227" spans="2:4" ht="12.75">
      <c r="B1227" s="54"/>
      <c r="C1227" s="63" t="s">
        <v>41</v>
      </c>
      <c r="D1227" s="59">
        <f>0.77+3.53+58.3</f>
        <v>62.599999999999994</v>
      </c>
    </row>
    <row r="1228" spans="2:4" ht="12.75">
      <c r="B1228" s="61" t="s">
        <v>19</v>
      </c>
      <c r="C1228" s="61"/>
      <c r="D1228" s="73">
        <v>48.81</v>
      </c>
    </row>
    <row r="1229" spans="2:4" ht="12.75">
      <c r="B1229" s="68" t="s">
        <v>42</v>
      </c>
      <c r="C1229" s="68"/>
      <c r="D1229" s="55">
        <f>118.88+44.8+2.1</f>
        <v>165.78</v>
      </c>
    </row>
    <row r="1230" spans="2:4" ht="12.75" customHeight="1">
      <c r="B1230" s="78" t="s">
        <v>92</v>
      </c>
      <c r="C1230" s="78"/>
      <c r="D1230" s="55">
        <v>24.83</v>
      </c>
    </row>
    <row r="1231" spans="2:4" ht="12.75">
      <c r="B1231" s="54"/>
      <c r="C1231" s="40" t="s">
        <v>21</v>
      </c>
      <c r="D1231" s="66">
        <f>D1218+D1219+D1223+D1228+D1229+D1230</f>
        <v>1843.33</v>
      </c>
    </row>
    <row r="1232" spans="2:4" ht="12.75">
      <c r="B1232" s="55">
        <v>5</v>
      </c>
      <c r="C1232" s="60" t="s">
        <v>9</v>
      </c>
      <c r="D1232" s="66">
        <f>D1231-D1215/1000</f>
        <v>216.35655999999994</v>
      </c>
    </row>
    <row r="1233" spans="2:4" ht="12.75">
      <c r="B1233" s="69"/>
      <c r="C1233" s="69"/>
      <c r="D1233" s="69"/>
    </row>
    <row r="1234" spans="2:4" ht="12.75">
      <c r="B1234" s="70" t="s">
        <v>82</v>
      </c>
      <c r="C1234" s="70"/>
      <c r="D1234" s="70"/>
    </row>
    <row r="1236" spans="2:4" ht="12.75">
      <c r="B1236" s="53" t="s">
        <v>0</v>
      </c>
      <c r="C1236" s="53"/>
      <c r="D1236" s="53"/>
    </row>
    <row r="1237" spans="2:4" ht="12.75">
      <c r="B1237" s="53" t="s">
        <v>30</v>
      </c>
      <c r="C1237" s="53"/>
      <c r="D1237" s="53"/>
    </row>
    <row r="1238" spans="2:4" ht="12.75">
      <c r="B1238" s="53" t="s">
        <v>93</v>
      </c>
      <c r="C1238" s="53"/>
      <c r="D1238" s="53"/>
    </row>
    <row r="1239" spans="2:4" ht="12.75">
      <c r="B1239" s="54"/>
      <c r="C1239" s="54" t="s">
        <v>3</v>
      </c>
      <c r="D1239" s="55" t="s">
        <v>4</v>
      </c>
    </row>
    <row r="1240" spans="2:4" ht="12.75">
      <c r="B1240" s="55">
        <v>1</v>
      </c>
      <c r="C1240" s="56" t="s">
        <v>5</v>
      </c>
      <c r="D1240" s="54">
        <v>2949.19</v>
      </c>
    </row>
    <row r="1241" spans="2:4" ht="12.75">
      <c r="B1241" s="55">
        <v>2</v>
      </c>
      <c r="C1241" s="55" t="s">
        <v>32</v>
      </c>
      <c r="D1241" s="54"/>
    </row>
    <row r="1242" spans="2:4" ht="12.75">
      <c r="B1242" s="54"/>
      <c r="C1242" s="54" t="s">
        <v>7</v>
      </c>
      <c r="D1242" s="59">
        <v>1842.75</v>
      </c>
    </row>
    <row r="1243" spans="2:4" ht="12.75">
      <c r="B1243" s="54"/>
      <c r="C1243" s="54" t="s">
        <v>33</v>
      </c>
      <c r="D1243" s="59">
        <v>9044.91</v>
      </c>
    </row>
    <row r="1244" spans="2:4" ht="12.75">
      <c r="B1244" s="54"/>
      <c r="C1244" s="54" t="s">
        <v>9</v>
      </c>
      <c r="D1244" s="59">
        <f>D1243-D1242</f>
        <v>7202.16</v>
      </c>
    </row>
    <row r="1245" spans="2:4" ht="12.75">
      <c r="B1245" s="55">
        <v>3</v>
      </c>
      <c r="C1245" s="58" t="s">
        <v>6</v>
      </c>
      <c r="D1245" s="54"/>
    </row>
    <row r="1246" spans="2:4" ht="12.75">
      <c r="B1246" s="55"/>
      <c r="C1246" s="54" t="s">
        <v>7</v>
      </c>
      <c r="D1246" s="59">
        <v>526006.1</v>
      </c>
    </row>
    <row r="1247" spans="2:4" ht="12.75">
      <c r="B1247" s="55"/>
      <c r="C1247" s="54" t="s">
        <v>8</v>
      </c>
      <c r="D1247" s="59">
        <v>545344.91</v>
      </c>
    </row>
    <row r="1248" spans="2:4" ht="12.75">
      <c r="B1248" s="55"/>
      <c r="C1248" s="54" t="s">
        <v>9</v>
      </c>
      <c r="D1248" s="59">
        <f>D1247-D1246</f>
        <v>19338.810000000056</v>
      </c>
    </row>
    <row r="1249" spans="2:4" ht="12.75">
      <c r="B1249" s="55">
        <v>4</v>
      </c>
      <c r="C1249" s="60" t="s">
        <v>10</v>
      </c>
      <c r="D1249" s="55" t="s">
        <v>11</v>
      </c>
    </row>
    <row r="1250" spans="2:4" ht="12.75">
      <c r="B1250" s="61" t="s">
        <v>14</v>
      </c>
      <c r="C1250" s="61"/>
      <c r="D1250" s="59">
        <v>71.01</v>
      </c>
    </row>
    <row r="1251" spans="2:4" ht="12.75" customHeight="1">
      <c r="B1251" s="62" t="s">
        <v>34</v>
      </c>
      <c r="C1251" s="62"/>
      <c r="D1251" s="55">
        <f>D1252+D1253+D1254</f>
        <v>152.9</v>
      </c>
    </row>
    <row r="1252" spans="2:4" ht="12.75">
      <c r="B1252" s="54"/>
      <c r="C1252" s="63" t="s">
        <v>35</v>
      </c>
      <c r="D1252" s="59">
        <v>114.2</v>
      </c>
    </row>
    <row r="1253" spans="2:4" ht="12.75">
      <c r="B1253" s="54"/>
      <c r="C1253" s="63" t="s">
        <v>36</v>
      </c>
      <c r="D1253" s="72">
        <v>35.1</v>
      </c>
    </row>
    <row r="1254" spans="2:4" ht="12.75">
      <c r="B1254" s="61" t="s">
        <v>37</v>
      </c>
      <c r="C1254" s="61"/>
      <c r="D1254" s="72">
        <v>3.6</v>
      </c>
    </row>
    <row r="1255" spans="2:4" ht="12.75" customHeight="1">
      <c r="B1255" s="65" t="s">
        <v>38</v>
      </c>
      <c r="C1255" s="65"/>
      <c r="D1255" s="66">
        <f>D1256+D1258+D1259+D1257</f>
        <v>140.47000000000003</v>
      </c>
    </row>
    <row r="1256" spans="2:4" ht="12.75">
      <c r="B1256" s="54"/>
      <c r="C1256" s="63" t="s">
        <v>15</v>
      </c>
      <c r="D1256" s="54">
        <f>86.13+17.4+7.57+11.15+2.9+0.75+2.4+2.4</f>
        <v>130.70000000000002</v>
      </c>
    </row>
    <row r="1257" spans="2:4" ht="12.75">
      <c r="B1257" s="54"/>
      <c r="C1257" s="63" t="s">
        <v>39</v>
      </c>
      <c r="D1257" s="59">
        <v>7.41</v>
      </c>
    </row>
    <row r="1258" spans="2:4" ht="12.75">
      <c r="B1258" s="54"/>
      <c r="C1258" s="67" t="s">
        <v>40</v>
      </c>
      <c r="D1258" s="59">
        <v>0.84</v>
      </c>
    </row>
    <row r="1259" spans="2:4" ht="12.75">
      <c r="B1259" s="54"/>
      <c r="C1259" s="63" t="s">
        <v>41</v>
      </c>
      <c r="D1259" s="59">
        <f>0.27+1.25</f>
        <v>1.52</v>
      </c>
    </row>
    <row r="1260" spans="2:4" ht="12.75">
      <c r="B1260" s="61" t="s">
        <v>19</v>
      </c>
      <c r="C1260" s="61"/>
      <c r="D1260" s="73">
        <v>16.36</v>
      </c>
    </row>
    <row r="1261" spans="2:4" ht="12.75">
      <c r="B1261" s="68" t="s">
        <v>42</v>
      </c>
      <c r="C1261" s="68"/>
      <c r="D1261" s="66">
        <f>45.12+17+0.74</f>
        <v>62.86</v>
      </c>
    </row>
    <row r="1262" spans="2:4" ht="12.75">
      <c r="B1262" s="54"/>
      <c r="C1262" s="40" t="s">
        <v>21</v>
      </c>
      <c r="D1262" s="66">
        <f>D1250+D1251+D1255+D1260+D1261</f>
        <v>443.6000000000001</v>
      </c>
    </row>
    <row r="1263" spans="2:4" ht="12.75">
      <c r="B1263" s="55">
        <v>5</v>
      </c>
      <c r="C1263" s="60" t="s">
        <v>9</v>
      </c>
      <c r="D1263" s="66">
        <f>D1262-D1247/1000</f>
        <v>-101.74490999999995</v>
      </c>
    </row>
    <row r="1264" spans="2:4" ht="12.75">
      <c r="B1264" s="69"/>
      <c r="C1264" s="69"/>
      <c r="D1264" s="69"/>
    </row>
    <row r="1265" spans="2:4" ht="12.75">
      <c r="B1265" s="70" t="s">
        <v>47</v>
      </c>
      <c r="C1265" s="70"/>
      <c r="D1265" s="70"/>
    </row>
    <row r="1267" spans="2:4" ht="12.75">
      <c r="B1267" s="53" t="s">
        <v>0</v>
      </c>
      <c r="C1267" s="53"/>
      <c r="D1267" s="53"/>
    </row>
    <row r="1268" spans="2:4" ht="12.75">
      <c r="B1268" s="53" t="s">
        <v>30</v>
      </c>
      <c r="C1268" s="53"/>
      <c r="D1268" s="53"/>
    </row>
    <row r="1269" spans="2:4" ht="12.75">
      <c r="B1269" s="53" t="s">
        <v>94</v>
      </c>
      <c r="C1269" s="53"/>
      <c r="D1269" s="53"/>
    </row>
    <row r="1270" spans="2:4" ht="12.75">
      <c r="B1270" s="54"/>
      <c r="C1270" s="54" t="s">
        <v>3</v>
      </c>
      <c r="D1270" s="55" t="s">
        <v>4</v>
      </c>
    </row>
    <row r="1271" spans="2:4" ht="12.75">
      <c r="B1271" s="55">
        <v>1</v>
      </c>
      <c r="C1271" s="56" t="s">
        <v>5</v>
      </c>
      <c r="D1271" s="54">
        <v>8096.03</v>
      </c>
    </row>
    <row r="1272" spans="2:4" ht="12.75">
      <c r="B1272" s="55">
        <v>2</v>
      </c>
      <c r="C1272" s="55" t="s">
        <v>32</v>
      </c>
      <c r="D1272" s="54"/>
    </row>
    <row r="1273" spans="2:4" ht="12.75">
      <c r="B1273" s="55"/>
      <c r="C1273" s="54" t="s">
        <v>7</v>
      </c>
      <c r="D1273" s="54">
        <v>8358.84</v>
      </c>
    </row>
    <row r="1274" spans="2:4" ht="12.75">
      <c r="B1274" s="55"/>
      <c r="C1274" s="54" t="s">
        <v>33</v>
      </c>
      <c r="D1274" s="59">
        <v>6773.52</v>
      </c>
    </row>
    <row r="1275" spans="2:4" ht="12.75">
      <c r="B1275" s="55"/>
      <c r="C1275" s="54" t="s">
        <v>9</v>
      </c>
      <c r="D1275" s="54">
        <f>D1274-D1273</f>
        <v>-1585.3199999999997</v>
      </c>
    </row>
    <row r="1276" spans="2:4" ht="12.75">
      <c r="B1276" s="55">
        <v>3</v>
      </c>
      <c r="C1276" s="58" t="s">
        <v>91</v>
      </c>
      <c r="D1276" s="54"/>
    </row>
    <row r="1277" spans="2:4" ht="12.75">
      <c r="B1277" s="55"/>
      <c r="C1277" s="54" t="s">
        <v>7</v>
      </c>
      <c r="D1277" s="59">
        <v>1491233.66</v>
      </c>
    </row>
    <row r="1278" spans="2:4" ht="12.75">
      <c r="B1278" s="55"/>
      <c r="C1278" s="54" t="s">
        <v>8</v>
      </c>
      <c r="D1278" s="59">
        <v>1505653.54</v>
      </c>
    </row>
    <row r="1279" spans="2:4" ht="12.75">
      <c r="B1279" s="55"/>
      <c r="C1279" s="54" t="s">
        <v>9</v>
      </c>
      <c r="D1279" s="59">
        <f>D1278-D1277</f>
        <v>14419.880000000121</v>
      </c>
    </row>
    <row r="1280" spans="2:4" ht="12.75">
      <c r="B1280" s="55">
        <v>4</v>
      </c>
      <c r="C1280" s="60" t="s">
        <v>10</v>
      </c>
      <c r="D1280" s="55" t="s">
        <v>11</v>
      </c>
    </row>
    <row r="1281" spans="2:4" ht="12.75">
      <c r="B1281" s="61" t="s">
        <v>14</v>
      </c>
      <c r="C1281" s="61"/>
      <c r="D1281" s="57">
        <v>201.3</v>
      </c>
    </row>
    <row r="1282" spans="2:4" ht="12.75" customHeight="1">
      <c r="B1282" s="62" t="s">
        <v>34</v>
      </c>
      <c r="C1282" s="62"/>
      <c r="D1282" s="55">
        <f>D1283+D1284+D1285</f>
        <v>647.15</v>
      </c>
    </row>
    <row r="1283" spans="2:4" ht="12.75">
      <c r="B1283" s="54"/>
      <c r="C1283" s="63" t="s">
        <v>35</v>
      </c>
      <c r="D1283" s="59">
        <v>313.4</v>
      </c>
    </row>
    <row r="1284" spans="2:4" ht="12.75">
      <c r="B1284" s="54"/>
      <c r="C1284" s="63" t="s">
        <v>36</v>
      </c>
      <c r="D1284" s="72">
        <v>326.15</v>
      </c>
    </row>
    <row r="1285" spans="2:4" ht="12.75">
      <c r="B1285" s="61" t="s">
        <v>37</v>
      </c>
      <c r="C1285" s="61"/>
      <c r="D1285" s="72">
        <v>7.6</v>
      </c>
    </row>
    <row r="1286" spans="2:4" ht="12.75" customHeight="1">
      <c r="B1286" s="65" t="s">
        <v>38</v>
      </c>
      <c r="C1286" s="65"/>
      <c r="D1286" s="66">
        <f>D1287+D1289+D1290+D1288</f>
        <v>292.95</v>
      </c>
    </row>
    <row r="1287" spans="2:4" ht="12.75">
      <c r="B1287" s="54"/>
      <c r="C1287" s="63" t="s">
        <v>15</v>
      </c>
      <c r="D1287" s="54">
        <f>168.5+34.03+14.8+21.81+1.65+7.96+2.06+1.43+6.66</f>
        <v>258.90000000000003</v>
      </c>
    </row>
    <row r="1288" spans="2:4" ht="12.75">
      <c r="B1288" s="54"/>
      <c r="C1288" s="63" t="s">
        <v>39</v>
      </c>
      <c r="D1288" s="59">
        <v>13.65</v>
      </c>
    </row>
    <row r="1289" spans="2:4" ht="12.75">
      <c r="B1289" s="54"/>
      <c r="C1289" s="67" t="s">
        <v>40</v>
      </c>
      <c r="D1289" s="59">
        <v>0</v>
      </c>
    </row>
    <row r="1290" spans="2:4" ht="12.75">
      <c r="B1290" s="54"/>
      <c r="C1290" s="63" t="s">
        <v>41</v>
      </c>
      <c r="D1290" s="59">
        <f>0.74+3.42+16.24</f>
        <v>20.4</v>
      </c>
    </row>
    <row r="1291" spans="2:4" ht="12.75">
      <c r="B1291" s="61" t="s">
        <v>19</v>
      </c>
      <c r="C1291" s="61"/>
      <c r="D1291" s="73">
        <v>45.17</v>
      </c>
    </row>
    <row r="1292" spans="2:4" ht="12.75">
      <c r="B1292" s="68" t="s">
        <v>42</v>
      </c>
      <c r="C1292" s="68"/>
      <c r="D1292" s="55">
        <f>123.87+46.68+2.03</f>
        <v>172.58</v>
      </c>
    </row>
    <row r="1293" spans="2:4" ht="12.75" customHeight="1">
      <c r="B1293" s="78" t="s">
        <v>92</v>
      </c>
      <c r="C1293" s="78"/>
      <c r="D1293" s="55">
        <v>49.65</v>
      </c>
    </row>
    <row r="1294" spans="2:4" ht="12.75">
      <c r="B1294" s="54"/>
      <c r="C1294" s="40" t="s">
        <v>21</v>
      </c>
      <c r="D1294" s="66">
        <f>D1281+D1282+D1286+D1291+D1292+D1293</f>
        <v>1408.8000000000002</v>
      </c>
    </row>
    <row r="1295" spans="2:4" ht="12.75">
      <c r="B1295" s="55">
        <v>5</v>
      </c>
      <c r="C1295" s="60" t="s">
        <v>9</v>
      </c>
      <c r="D1295" s="66">
        <f>D1294-D1278/1000</f>
        <v>-96.85353999999984</v>
      </c>
    </row>
    <row r="1296" spans="2:4" ht="12.75">
      <c r="B1296" s="69"/>
      <c r="C1296" s="69"/>
      <c r="D1296" s="69"/>
    </row>
    <row r="1297" spans="2:4" ht="12.75">
      <c r="B1297" s="70" t="s">
        <v>82</v>
      </c>
      <c r="C1297" s="70"/>
      <c r="D1297" s="70"/>
    </row>
    <row r="1299" spans="2:4" ht="12.75">
      <c r="B1299" s="53" t="s">
        <v>0</v>
      </c>
      <c r="C1299" s="53"/>
      <c r="D1299" s="53"/>
    </row>
    <row r="1300" spans="2:4" ht="12.75">
      <c r="B1300" s="53" t="s">
        <v>30</v>
      </c>
      <c r="C1300" s="53"/>
      <c r="D1300" s="53"/>
    </row>
    <row r="1301" spans="2:4" ht="12.75">
      <c r="B1301" s="53" t="s">
        <v>95</v>
      </c>
      <c r="C1301" s="53"/>
      <c r="D1301" s="53"/>
    </row>
    <row r="1302" spans="2:4" ht="12.75">
      <c r="B1302" s="54"/>
      <c r="C1302" s="54" t="s">
        <v>3</v>
      </c>
      <c r="D1302" s="55" t="s">
        <v>4</v>
      </c>
    </row>
    <row r="1303" spans="2:4" ht="12.75">
      <c r="B1303" s="55">
        <v>1</v>
      </c>
      <c r="C1303" s="56" t="s">
        <v>5</v>
      </c>
      <c r="D1303" s="54">
        <v>443.7</v>
      </c>
    </row>
    <row r="1304" spans="2:4" ht="12.75">
      <c r="B1304" s="55">
        <v>2</v>
      </c>
      <c r="C1304" s="55" t="s">
        <v>32</v>
      </c>
      <c r="D1304" s="54"/>
    </row>
    <row r="1305" spans="2:4" ht="12.75">
      <c r="B1305" s="54"/>
      <c r="C1305" s="54" t="s">
        <v>7</v>
      </c>
      <c r="D1305" s="59"/>
    </row>
    <row r="1306" spans="2:4" ht="12.75">
      <c r="B1306" s="54"/>
      <c r="C1306" s="54" t="s">
        <v>33</v>
      </c>
      <c r="D1306" s="59">
        <v>99.21</v>
      </c>
    </row>
    <row r="1307" spans="2:4" ht="12.75">
      <c r="B1307" s="54"/>
      <c r="C1307" s="54" t="s">
        <v>9</v>
      </c>
      <c r="D1307" s="59">
        <f>D1306-D1305</f>
        <v>99.21</v>
      </c>
    </row>
    <row r="1308" spans="2:4" ht="12.75">
      <c r="B1308" s="55">
        <v>3</v>
      </c>
      <c r="C1308" s="58" t="s">
        <v>6</v>
      </c>
      <c r="D1308" s="54"/>
    </row>
    <row r="1309" spans="2:4" ht="12.75">
      <c r="B1309" s="55"/>
      <c r="C1309" s="54" t="s">
        <v>7</v>
      </c>
      <c r="D1309" s="59">
        <v>79711.32</v>
      </c>
    </row>
    <row r="1310" spans="2:4" ht="12.75">
      <c r="B1310" s="55"/>
      <c r="C1310" s="54" t="s">
        <v>8</v>
      </c>
      <c r="D1310" s="59">
        <v>84081.38</v>
      </c>
    </row>
    <row r="1311" spans="2:4" ht="12.75">
      <c r="B1311" s="55"/>
      <c r="C1311" s="54" t="s">
        <v>9</v>
      </c>
      <c r="D1311" s="59">
        <f>D1310-D1309</f>
        <v>4370.059999999998</v>
      </c>
    </row>
    <row r="1312" spans="2:4" ht="12.75">
      <c r="B1312" s="55">
        <v>4</v>
      </c>
      <c r="C1312" s="60" t="s">
        <v>10</v>
      </c>
      <c r="D1312" s="55" t="s">
        <v>11</v>
      </c>
    </row>
    <row r="1313" spans="2:4" ht="12.75">
      <c r="B1313" s="61" t="s">
        <v>14</v>
      </c>
      <c r="C1313" s="61"/>
      <c r="D1313" s="59">
        <v>10.76</v>
      </c>
    </row>
    <row r="1314" spans="2:4" ht="12.75" customHeight="1">
      <c r="B1314" s="62" t="s">
        <v>34</v>
      </c>
      <c r="C1314" s="62"/>
      <c r="D1314" s="55">
        <f>D1315+D1316+D1317</f>
        <v>80.87</v>
      </c>
    </row>
    <row r="1315" spans="2:4" ht="12.75">
      <c r="B1315" s="54"/>
      <c r="C1315" s="63" t="s">
        <v>35</v>
      </c>
      <c r="D1315" s="59">
        <v>17.17</v>
      </c>
    </row>
    <row r="1316" spans="2:4" ht="12.75">
      <c r="B1316" s="54"/>
      <c r="C1316" s="63" t="s">
        <v>36</v>
      </c>
      <c r="D1316" s="72">
        <v>63.7</v>
      </c>
    </row>
    <row r="1317" spans="2:4" ht="12.75">
      <c r="B1317" s="61" t="s">
        <v>37</v>
      </c>
      <c r="C1317" s="61"/>
      <c r="D1317" s="72">
        <v>0</v>
      </c>
    </row>
    <row r="1318" spans="2:4" ht="12.75" customHeight="1">
      <c r="B1318" s="65" t="s">
        <v>38</v>
      </c>
      <c r="C1318" s="65"/>
      <c r="D1318" s="66">
        <f>D1319+D1321+D1322+D1320</f>
        <v>13.209999999999999</v>
      </c>
    </row>
    <row r="1319" spans="2:4" ht="12.75">
      <c r="B1319" s="54"/>
      <c r="C1319" s="63" t="s">
        <v>15</v>
      </c>
      <c r="D1319" s="54">
        <f>7.65+1.55+0.67+0.99+0.43+0.11+0.36</f>
        <v>11.76</v>
      </c>
    </row>
    <row r="1320" spans="2:4" ht="12.75">
      <c r="B1320" s="54"/>
      <c r="C1320" s="63" t="s">
        <v>39</v>
      </c>
      <c r="D1320" s="59">
        <v>0.52</v>
      </c>
    </row>
    <row r="1321" spans="2:4" ht="12.75">
      <c r="B1321" s="54"/>
      <c r="C1321" s="67" t="s">
        <v>40</v>
      </c>
      <c r="D1321" s="59">
        <v>0</v>
      </c>
    </row>
    <row r="1322" spans="2:4" ht="12.75">
      <c r="B1322" s="54"/>
      <c r="C1322" s="63" t="s">
        <v>41</v>
      </c>
      <c r="D1322" s="59">
        <f>0.04+0.19+0.7</f>
        <v>0.93</v>
      </c>
    </row>
    <row r="1323" spans="2:4" ht="12.75">
      <c r="B1323" s="61" t="s">
        <v>19</v>
      </c>
      <c r="C1323" s="61"/>
      <c r="D1323" s="73">
        <v>2.52</v>
      </c>
    </row>
    <row r="1324" spans="2:4" ht="12.75">
      <c r="B1324" s="68" t="s">
        <v>42</v>
      </c>
      <c r="C1324" s="68"/>
      <c r="D1324" s="66">
        <f>6.79+2.56+0.11</f>
        <v>9.459999999999999</v>
      </c>
    </row>
    <row r="1325" spans="2:4" ht="12.75">
      <c r="B1325" s="54"/>
      <c r="C1325" s="40" t="s">
        <v>21</v>
      </c>
      <c r="D1325" s="66">
        <f>D1313+D1314+D1318+D1323+D1324</f>
        <v>116.82</v>
      </c>
    </row>
    <row r="1326" spans="2:4" ht="12.75">
      <c r="B1326" s="55">
        <v>5</v>
      </c>
      <c r="C1326" s="60" t="s">
        <v>9</v>
      </c>
      <c r="D1326" s="66">
        <f>D1325-D1310/1000</f>
        <v>32.73861999999998</v>
      </c>
    </row>
    <row r="1327" spans="2:4" ht="12.75">
      <c r="B1327" s="69"/>
      <c r="C1327" s="69"/>
      <c r="D1327" s="69"/>
    </row>
    <row r="1328" spans="2:4" ht="12.75">
      <c r="B1328" s="70" t="s">
        <v>47</v>
      </c>
      <c r="C1328" s="70"/>
      <c r="D1328" s="70"/>
    </row>
    <row r="1331" spans="2:4" ht="12.75">
      <c r="B1331" s="53" t="s">
        <v>0</v>
      </c>
      <c r="C1331" s="53"/>
      <c r="D1331" s="53"/>
    </row>
    <row r="1332" spans="2:4" ht="12.75">
      <c r="B1332" s="53" t="s">
        <v>30</v>
      </c>
      <c r="C1332" s="53"/>
      <c r="D1332" s="53"/>
    </row>
    <row r="1333" spans="2:4" ht="12.75">
      <c r="B1333" s="53" t="s">
        <v>96</v>
      </c>
      <c r="C1333" s="53"/>
      <c r="D1333" s="53"/>
    </row>
    <row r="1334" spans="2:4" ht="12.75">
      <c r="B1334" s="54"/>
      <c r="C1334" s="54" t="s">
        <v>3</v>
      </c>
      <c r="D1334" s="55" t="s">
        <v>4</v>
      </c>
    </row>
    <row r="1335" spans="2:4" ht="12.75">
      <c r="B1335" s="55">
        <v>1</v>
      </c>
      <c r="C1335" s="56" t="s">
        <v>5</v>
      </c>
      <c r="D1335" s="54">
        <v>652.88</v>
      </c>
    </row>
    <row r="1336" spans="2:4" ht="12.75">
      <c r="B1336" s="55">
        <v>2</v>
      </c>
      <c r="C1336" s="55" t="s">
        <v>32</v>
      </c>
      <c r="D1336" s="54"/>
    </row>
    <row r="1337" spans="2:4" ht="12.75">
      <c r="B1337" s="54"/>
      <c r="C1337" s="54" t="s">
        <v>7</v>
      </c>
      <c r="D1337" s="59"/>
    </row>
    <row r="1338" spans="2:4" ht="12.75">
      <c r="B1338" s="54"/>
      <c r="C1338" s="54" t="s">
        <v>33</v>
      </c>
      <c r="D1338" s="59">
        <v>4985.64</v>
      </c>
    </row>
    <row r="1339" spans="2:4" ht="12.75">
      <c r="B1339" s="54"/>
      <c r="C1339" s="54" t="s">
        <v>9</v>
      </c>
      <c r="D1339" s="59">
        <f>D1338-D1337</f>
        <v>4985.64</v>
      </c>
    </row>
    <row r="1340" spans="2:4" ht="12.75">
      <c r="B1340" s="55">
        <v>3</v>
      </c>
      <c r="C1340" s="58" t="s">
        <v>6</v>
      </c>
      <c r="D1340" s="54"/>
    </row>
    <row r="1341" spans="2:4" ht="12.75">
      <c r="B1341" s="55"/>
      <c r="C1341" s="54" t="s">
        <v>7</v>
      </c>
      <c r="D1341" s="59">
        <v>106694.34</v>
      </c>
    </row>
    <row r="1342" spans="2:4" ht="12.75">
      <c r="B1342" s="55"/>
      <c r="C1342" s="54" t="s">
        <v>8</v>
      </c>
      <c r="D1342" s="59">
        <v>133151.48</v>
      </c>
    </row>
    <row r="1343" spans="2:4" ht="12.75">
      <c r="B1343" s="55"/>
      <c r="C1343" s="54" t="s">
        <v>9</v>
      </c>
      <c r="D1343" s="59">
        <f>D1342-D1341</f>
        <v>26457.140000000014</v>
      </c>
    </row>
    <row r="1344" spans="2:4" ht="12.75">
      <c r="B1344" s="55">
        <v>4</v>
      </c>
      <c r="C1344" s="60" t="s">
        <v>10</v>
      </c>
      <c r="D1344" s="55" t="s">
        <v>11</v>
      </c>
    </row>
    <row r="1345" spans="2:4" ht="12.75">
      <c r="B1345" s="61" t="s">
        <v>14</v>
      </c>
      <c r="C1345" s="61"/>
      <c r="D1345" s="59">
        <v>14.4</v>
      </c>
    </row>
    <row r="1346" spans="2:4" ht="12.75" customHeight="1">
      <c r="B1346" s="62" t="s">
        <v>34</v>
      </c>
      <c r="C1346" s="62"/>
      <c r="D1346" s="55">
        <f>D1347+D1348+D1349</f>
        <v>44.480000000000004</v>
      </c>
    </row>
    <row r="1347" spans="2:4" ht="12.75">
      <c r="B1347" s="54"/>
      <c r="C1347" s="63" t="s">
        <v>35</v>
      </c>
      <c r="D1347" s="59">
        <v>25.14</v>
      </c>
    </row>
    <row r="1348" spans="2:4" ht="12.75">
      <c r="B1348" s="54"/>
      <c r="C1348" s="63" t="s">
        <v>36</v>
      </c>
      <c r="D1348" s="72">
        <v>19.34</v>
      </c>
    </row>
    <row r="1349" spans="2:4" ht="12.75">
      <c r="B1349" s="61" t="s">
        <v>37</v>
      </c>
      <c r="C1349" s="61"/>
      <c r="D1349" s="72">
        <v>0</v>
      </c>
    </row>
    <row r="1350" spans="2:4" ht="12.75" customHeight="1">
      <c r="B1350" s="65" t="s">
        <v>38</v>
      </c>
      <c r="C1350" s="65"/>
      <c r="D1350" s="66">
        <f>D1351+D1353+D1354+D1352</f>
        <v>20.12</v>
      </c>
    </row>
    <row r="1351" spans="2:4" ht="12.75">
      <c r="B1351" s="54"/>
      <c r="C1351" s="63" t="s">
        <v>15</v>
      </c>
      <c r="D1351" s="54">
        <f>10.12+2.04+0.89+1.02+1.28+3+0.33+0.34</f>
        <v>19.02</v>
      </c>
    </row>
    <row r="1352" spans="2:4" ht="12.75">
      <c r="B1352" s="54"/>
      <c r="C1352" s="63" t="s">
        <v>39</v>
      </c>
      <c r="D1352" s="59">
        <v>0</v>
      </c>
    </row>
    <row r="1353" spans="2:4" ht="12.75">
      <c r="B1353" s="54"/>
      <c r="C1353" s="67" t="s">
        <v>40</v>
      </c>
      <c r="D1353" s="59">
        <v>0</v>
      </c>
    </row>
    <row r="1354" spans="2:4" ht="12.75">
      <c r="B1354" s="54"/>
      <c r="C1354" s="63" t="s">
        <v>41</v>
      </c>
      <c r="D1354" s="59">
        <v>1.1</v>
      </c>
    </row>
    <row r="1355" spans="2:4" ht="12.75">
      <c r="B1355" s="61" t="s">
        <v>19</v>
      </c>
      <c r="C1355" s="61"/>
      <c r="D1355" s="73">
        <v>4</v>
      </c>
    </row>
    <row r="1356" spans="2:4" ht="12.75">
      <c r="B1356" s="68" t="s">
        <v>42</v>
      </c>
      <c r="C1356" s="68"/>
      <c r="D1356" s="66">
        <f>10+3.76+0.17</f>
        <v>13.93</v>
      </c>
    </row>
    <row r="1357" spans="2:4" ht="12.75">
      <c r="B1357" s="54"/>
      <c r="C1357" s="40" t="s">
        <v>21</v>
      </c>
      <c r="D1357" s="66">
        <f>D1345+D1346+D1350+D1355+D1356</f>
        <v>96.93</v>
      </c>
    </row>
    <row r="1358" spans="2:4" ht="12.75">
      <c r="B1358" s="55">
        <v>5</v>
      </c>
      <c r="C1358" s="60" t="s">
        <v>9</v>
      </c>
      <c r="D1358" s="66">
        <f>D1357-D1342/1000</f>
        <v>-36.221480000000014</v>
      </c>
    </row>
    <row r="1359" spans="2:4" ht="12.75">
      <c r="B1359" s="69"/>
      <c r="C1359" s="69"/>
      <c r="D1359" s="69"/>
    </row>
    <row r="1360" spans="2:4" ht="12.75">
      <c r="B1360" s="70" t="s">
        <v>47</v>
      </c>
      <c r="C1360" s="70"/>
      <c r="D1360" s="70"/>
    </row>
    <row r="1363" spans="2:4" ht="12.75">
      <c r="B1363" s="53" t="s">
        <v>0</v>
      </c>
      <c r="C1363" s="53"/>
      <c r="D1363" s="53"/>
    </row>
    <row r="1364" spans="2:4" ht="12.75">
      <c r="B1364" s="53" t="s">
        <v>30</v>
      </c>
      <c r="C1364" s="53"/>
      <c r="D1364" s="53"/>
    </row>
    <row r="1365" spans="2:4" ht="12.75">
      <c r="B1365" s="53" t="s">
        <v>97</v>
      </c>
      <c r="C1365" s="53"/>
      <c r="D1365" s="53"/>
    </row>
    <row r="1366" spans="2:4" ht="12.75">
      <c r="B1366" s="54"/>
      <c r="C1366" s="54" t="s">
        <v>3</v>
      </c>
      <c r="D1366" s="55" t="s">
        <v>4</v>
      </c>
    </row>
    <row r="1367" spans="2:4" ht="12.75">
      <c r="B1367" s="55">
        <v>1</v>
      </c>
      <c r="C1367" s="56" t="s">
        <v>5</v>
      </c>
      <c r="D1367" s="54">
        <v>3412</v>
      </c>
    </row>
    <row r="1368" spans="2:4" ht="12.75">
      <c r="B1368" s="55">
        <v>2</v>
      </c>
      <c r="C1368" s="55" t="s">
        <v>32</v>
      </c>
      <c r="D1368" s="54"/>
    </row>
    <row r="1369" spans="2:4" ht="12.75">
      <c r="B1369" s="55"/>
      <c r="C1369" s="54" t="s">
        <v>7</v>
      </c>
      <c r="D1369" s="54">
        <v>3847.68</v>
      </c>
    </row>
    <row r="1370" spans="2:4" ht="12.75">
      <c r="B1370" s="55"/>
      <c r="C1370" s="54" t="s">
        <v>33</v>
      </c>
      <c r="D1370" s="59">
        <v>1476.52</v>
      </c>
    </row>
    <row r="1371" spans="2:4" ht="12.75">
      <c r="B1371" s="55"/>
      <c r="C1371" s="54" t="s">
        <v>9</v>
      </c>
      <c r="D1371" s="54">
        <f>D1370-D1369</f>
        <v>-2371.16</v>
      </c>
    </row>
    <row r="1372" spans="2:4" ht="12.75">
      <c r="B1372" s="55">
        <v>3</v>
      </c>
      <c r="C1372" s="58" t="s">
        <v>91</v>
      </c>
      <c r="D1372" s="54"/>
    </row>
    <row r="1373" spans="2:4" ht="12.75">
      <c r="B1373" s="55"/>
      <c r="C1373" s="54" t="s">
        <v>7</v>
      </c>
      <c r="D1373" s="59">
        <v>599188.08</v>
      </c>
    </row>
    <row r="1374" spans="2:4" ht="12.75">
      <c r="B1374" s="55"/>
      <c r="C1374" s="54" t="s">
        <v>8</v>
      </c>
      <c r="D1374" s="59">
        <v>543910.32</v>
      </c>
    </row>
    <row r="1375" spans="2:4" ht="12.75">
      <c r="B1375" s="55"/>
      <c r="C1375" s="54" t="s">
        <v>9</v>
      </c>
      <c r="D1375" s="59">
        <f>D1374-D1373</f>
        <v>-55277.76000000001</v>
      </c>
    </row>
    <row r="1376" spans="2:4" ht="12.75">
      <c r="B1376" s="55">
        <v>4</v>
      </c>
      <c r="C1376" s="60" t="s">
        <v>10</v>
      </c>
      <c r="D1376" s="55" t="s">
        <v>11</v>
      </c>
    </row>
    <row r="1377" spans="2:4" ht="12.75">
      <c r="B1377" s="61" t="s">
        <v>14</v>
      </c>
      <c r="C1377" s="61"/>
      <c r="D1377" s="57">
        <v>80.9</v>
      </c>
    </row>
    <row r="1378" spans="2:4" ht="12.75" customHeight="1">
      <c r="B1378" s="62" t="s">
        <v>34</v>
      </c>
      <c r="C1378" s="62"/>
      <c r="D1378" s="55">
        <f>D1379+D1380+D1381</f>
        <v>181.76999999999998</v>
      </c>
    </row>
    <row r="1379" spans="2:4" ht="12.75">
      <c r="B1379" s="54"/>
      <c r="C1379" s="63" t="s">
        <v>35</v>
      </c>
      <c r="D1379" s="59">
        <v>132.07</v>
      </c>
    </row>
    <row r="1380" spans="2:4" ht="12.75">
      <c r="B1380" s="54"/>
      <c r="C1380" s="63" t="s">
        <v>36</v>
      </c>
      <c r="D1380" s="72">
        <v>34.1</v>
      </c>
    </row>
    <row r="1381" spans="2:4" ht="12.75">
      <c r="B1381" s="61" t="s">
        <v>37</v>
      </c>
      <c r="C1381" s="61"/>
      <c r="D1381" s="72">
        <v>15.6</v>
      </c>
    </row>
    <row r="1382" spans="2:4" ht="12.75" customHeight="1">
      <c r="B1382" s="65" t="s">
        <v>38</v>
      </c>
      <c r="C1382" s="65"/>
      <c r="D1382" s="66">
        <f>D1383+D1385+D1386+D1384</f>
        <v>117.21000000000001</v>
      </c>
    </row>
    <row r="1383" spans="2:4" ht="12.75">
      <c r="B1383" s="54"/>
      <c r="C1383" s="63" t="s">
        <v>15</v>
      </c>
      <c r="D1383" s="54">
        <f>66.8+13.5+5.87+8.65+3.35+1.5+0.87+3.6+2.81</f>
        <v>106.95</v>
      </c>
    </row>
    <row r="1384" spans="2:4" ht="12.75">
      <c r="B1384" s="54"/>
      <c r="C1384" s="63" t="s">
        <v>39</v>
      </c>
      <c r="D1384" s="59">
        <v>8.31</v>
      </c>
    </row>
    <row r="1385" spans="2:4" ht="12.75">
      <c r="B1385" s="54"/>
      <c r="C1385" s="67" t="s">
        <v>40</v>
      </c>
      <c r="D1385" s="59">
        <v>0.2</v>
      </c>
    </row>
    <row r="1386" spans="2:4" ht="12.75">
      <c r="B1386" s="54"/>
      <c r="C1386" s="63" t="s">
        <v>41</v>
      </c>
      <c r="D1386" s="59">
        <f>0.31+1.44</f>
        <v>1.75</v>
      </c>
    </row>
    <row r="1387" spans="2:4" ht="12.75">
      <c r="B1387" s="61" t="s">
        <v>19</v>
      </c>
      <c r="C1387" s="61"/>
      <c r="D1387" s="73">
        <v>16.32</v>
      </c>
    </row>
    <row r="1388" spans="2:4" ht="12.75">
      <c r="B1388" s="68" t="s">
        <v>42</v>
      </c>
      <c r="C1388" s="68"/>
      <c r="D1388" s="55">
        <f>52.2+19.67+0.85</f>
        <v>72.72</v>
      </c>
    </row>
    <row r="1389" spans="2:4" ht="12.75" customHeight="1">
      <c r="B1389" s="78" t="s">
        <v>92</v>
      </c>
      <c r="C1389" s="78"/>
      <c r="D1389" s="55">
        <v>20.69</v>
      </c>
    </row>
    <row r="1390" spans="2:4" ht="12.75">
      <c r="B1390" s="54"/>
      <c r="C1390" s="40" t="s">
        <v>21</v>
      </c>
      <c r="D1390" s="66">
        <f>D1377+D1378+D1382+D1387+D1388+D1389</f>
        <v>489.60999999999996</v>
      </c>
    </row>
    <row r="1391" spans="2:4" ht="12.75">
      <c r="B1391" s="55">
        <v>5</v>
      </c>
      <c r="C1391" s="60" t="s">
        <v>9</v>
      </c>
      <c r="D1391" s="66">
        <f>D1390-D1374/1000</f>
        <v>-54.30032</v>
      </c>
    </row>
    <row r="1392" spans="2:4" ht="12.75">
      <c r="B1392" s="69"/>
      <c r="C1392" s="69"/>
      <c r="D1392" s="69"/>
    </row>
    <row r="1393" spans="2:4" ht="12.75">
      <c r="B1393" s="70" t="s">
        <v>82</v>
      </c>
      <c r="C1393" s="70"/>
      <c r="D1393" s="70"/>
    </row>
    <row r="1395" spans="2:4" ht="12.75">
      <c r="B1395" s="53" t="s">
        <v>0</v>
      </c>
      <c r="C1395" s="53"/>
      <c r="D1395" s="53"/>
    </row>
    <row r="1396" spans="2:4" ht="12.75">
      <c r="B1396" s="53" t="s">
        <v>30</v>
      </c>
      <c r="C1396" s="53"/>
      <c r="D1396" s="53"/>
    </row>
    <row r="1397" spans="2:4" ht="12.75">
      <c r="B1397" s="53" t="s">
        <v>98</v>
      </c>
      <c r="C1397" s="53"/>
      <c r="D1397" s="53"/>
    </row>
    <row r="1398" spans="2:4" ht="12.75">
      <c r="B1398" s="54"/>
      <c r="C1398" s="54" t="s">
        <v>3</v>
      </c>
      <c r="D1398" s="55" t="s">
        <v>4</v>
      </c>
    </row>
    <row r="1399" spans="2:4" ht="12.75">
      <c r="B1399" s="55">
        <v>1</v>
      </c>
      <c r="C1399" s="56" t="s">
        <v>5</v>
      </c>
      <c r="D1399" s="54">
        <v>1911.37</v>
      </c>
    </row>
    <row r="1400" spans="2:4" ht="12.75">
      <c r="B1400" s="55">
        <v>2</v>
      </c>
      <c r="C1400" s="55" t="s">
        <v>32</v>
      </c>
      <c r="D1400" s="54"/>
    </row>
    <row r="1401" spans="2:4" ht="12.75">
      <c r="B1401" s="54"/>
      <c r="C1401" s="54" t="s">
        <v>7</v>
      </c>
      <c r="D1401" s="59"/>
    </row>
    <row r="1402" spans="2:4" ht="12.75">
      <c r="B1402" s="54"/>
      <c r="C1402" s="54" t="s">
        <v>33</v>
      </c>
      <c r="D1402" s="59">
        <v>226.5</v>
      </c>
    </row>
    <row r="1403" spans="2:4" ht="12.75">
      <c r="B1403" s="54"/>
      <c r="C1403" s="54" t="s">
        <v>9</v>
      </c>
      <c r="D1403" s="59">
        <f>D1402-D1401</f>
        <v>226.5</v>
      </c>
    </row>
    <row r="1404" spans="2:4" ht="12.75">
      <c r="B1404" s="55">
        <v>3</v>
      </c>
      <c r="C1404" s="58" t="s">
        <v>6</v>
      </c>
      <c r="D1404" s="54"/>
    </row>
    <row r="1405" spans="2:4" ht="12.75">
      <c r="B1405" s="55"/>
      <c r="C1405" s="54" t="s">
        <v>7</v>
      </c>
      <c r="D1405" s="59">
        <v>319353.51</v>
      </c>
    </row>
    <row r="1406" spans="2:4" ht="12.75">
      <c r="B1406" s="55"/>
      <c r="C1406" s="54" t="s">
        <v>8</v>
      </c>
      <c r="D1406" s="59">
        <v>308332.91</v>
      </c>
    </row>
    <row r="1407" spans="2:4" ht="12.75">
      <c r="B1407" s="55"/>
      <c r="C1407" s="54" t="s">
        <v>9</v>
      </c>
      <c r="D1407" s="59">
        <f>D1406-D1405</f>
        <v>-11020.600000000035</v>
      </c>
    </row>
    <row r="1408" spans="2:4" ht="12.75">
      <c r="B1408" s="55">
        <v>4</v>
      </c>
      <c r="C1408" s="60" t="s">
        <v>10</v>
      </c>
      <c r="D1408" s="55" t="s">
        <v>11</v>
      </c>
    </row>
    <row r="1409" spans="2:4" ht="12.75">
      <c r="B1409" s="61" t="s">
        <v>14</v>
      </c>
      <c r="C1409" s="61"/>
      <c r="D1409" s="59">
        <v>43.11</v>
      </c>
    </row>
    <row r="1410" spans="2:4" ht="12.75" customHeight="1">
      <c r="B1410" s="62" t="s">
        <v>34</v>
      </c>
      <c r="C1410" s="62"/>
      <c r="D1410" s="55">
        <f>D1411+D1412+D1413</f>
        <v>138.48</v>
      </c>
    </row>
    <row r="1411" spans="2:4" ht="12.75">
      <c r="B1411" s="54"/>
      <c r="C1411" s="63" t="s">
        <v>35</v>
      </c>
      <c r="D1411" s="59">
        <v>73.96</v>
      </c>
    </row>
    <row r="1412" spans="2:4" ht="12.75">
      <c r="B1412" s="54"/>
      <c r="C1412" s="63" t="s">
        <v>36</v>
      </c>
      <c r="D1412" s="72">
        <v>54.92</v>
      </c>
    </row>
    <row r="1413" spans="2:4" ht="12.75">
      <c r="B1413" s="61" t="s">
        <v>37</v>
      </c>
      <c r="C1413" s="61"/>
      <c r="D1413" s="72">
        <v>9.6</v>
      </c>
    </row>
    <row r="1414" spans="2:4" ht="12.75" customHeight="1">
      <c r="B1414" s="65" t="s">
        <v>38</v>
      </c>
      <c r="C1414" s="65"/>
      <c r="D1414" s="66">
        <f>D1415+D1417+D1418+D1416</f>
        <v>77.56</v>
      </c>
    </row>
    <row r="1415" spans="2:4" ht="12.75">
      <c r="B1415" s="54"/>
      <c r="C1415" s="63" t="s">
        <v>15</v>
      </c>
      <c r="D1415" s="54">
        <f>47.36+9.57+4.16+6.13+1.16+2.01+0.52+2.17+1.54</f>
        <v>74.62</v>
      </c>
    </row>
    <row r="1416" spans="2:4" ht="12.75">
      <c r="B1416" s="54"/>
      <c r="C1416" s="63" t="s">
        <v>39</v>
      </c>
      <c r="D1416" s="59">
        <v>2.02</v>
      </c>
    </row>
    <row r="1417" spans="2:4" ht="12.75">
      <c r="B1417" s="54"/>
      <c r="C1417" s="67" t="s">
        <v>40</v>
      </c>
      <c r="D1417" s="59">
        <v>0</v>
      </c>
    </row>
    <row r="1418" spans="2:4" ht="12.75">
      <c r="B1418" s="54"/>
      <c r="C1418" s="63" t="s">
        <v>41</v>
      </c>
      <c r="D1418" s="59">
        <f>0.17+0.75</f>
        <v>0.92</v>
      </c>
    </row>
    <row r="1419" spans="2:4" ht="12.75">
      <c r="B1419" s="61" t="s">
        <v>19</v>
      </c>
      <c r="C1419" s="61"/>
      <c r="D1419" s="73">
        <v>9.25</v>
      </c>
    </row>
    <row r="1420" spans="2:4" ht="12.75">
      <c r="B1420" s="68" t="s">
        <v>42</v>
      </c>
      <c r="C1420" s="68"/>
      <c r="D1420" s="66">
        <f>29.24+11.02+0.44</f>
        <v>40.699999999999996</v>
      </c>
    </row>
    <row r="1421" spans="2:4" ht="12.75">
      <c r="B1421" s="54"/>
      <c r="C1421" s="40" t="s">
        <v>21</v>
      </c>
      <c r="D1421" s="66">
        <f>D1409+D1410+D1414+D1419+D1420</f>
        <v>309.09999999999997</v>
      </c>
    </row>
    <row r="1422" spans="2:4" ht="12.75">
      <c r="B1422" s="55">
        <v>5</v>
      </c>
      <c r="C1422" s="60" t="s">
        <v>9</v>
      </c>
      <c r="D1422" s="66">
        <f>D1421-D1406/1000</f>
        <v>0.767089999999996</v>
      </c>
    </row>
    <row r="1423" spans="2:4" ht="12.75">
      <c r="B1423" s="69"/>
      <c r="C1423" s="69"/>
      <c r="D1423" s="69"/>
    </row>
    <row r="1424" spans="2:4" ht="12.75">
      <c r="B1424" s="70" t="s">
        <v>47</v>
      </c>
      <c r="C1424" s="70"/>
      <c r="D1424" s="70"/>
    </row>
    <row r="1426" spans="2:4" ht="12.75">
      <c r="B1426" s="53" t="s">
        <v>0</v>
      </c>
      <c r="C1426" s="53"/>
      <c r="D1426" s="53"/>
    </row>
    <row r="1427" spans="2:4" ht="12.75">
      <c r="B1427" s="53" t="s">
        <v>30</v>
      </c>
      <c r="C1427" s="53"/>
      <c r="D1427" s="53"/>
    </row>
    <row r="1428" spans="2:4" ht="12.75">
      <c r="B1428" s="53" t="s">
        <v>99</v>
      </c>
      <c r="C1428" s="53"/>
      <c r="D1428" s="53"/>
    </row>
    <row r="1429" spans="2:4" ht="12.75">
      <c r="B1429" s="54"/>
      <c r="C1429" s="54" t="s">
        <v>3</v>
      </c>
      <c r="D1429" s="55" t="s">
        <v>4</v>
      </c>
    </row>
    <row r="1430" spans="2:4" ht="12.75">
      <c r="B1430" s="55">
        <v>1</v>
      </c>
      <c r="C1430" s="56" t="s">
        <v>5</v>
      </c>
      <c r="D1430" s="54">
        <v>1988.19</v>
      </c>
    </row>
    <row r="1431" spans="2:4" ht="12.75">
      <c r="B1431" s="55">
        <v>2</v>
      </c>
      <c r="C1431" s="55" t="s">
        <v>32</v>
      </c>
      <c r="D1431" s="54"/>
    </row>
    <row r="1432" spans="2:4" ht="12.75">
      <c r="B1432" s="55"/>
      <c r="C1432" s="54" t="s">
        <v>7</v>
      </c>
      <c r="D1432" s="59">
        <v>5865.5</v>
      </c>
    </row>
    <row r="1433" spans="2:4" ht="12.75">
      <c r="B1433" s="55"/>
      <c r="C1433" s="54" t="s">
        <v>33</v>
      </c>
      <c r="D1433" s="59">
        <v>2765.11</v>
      </c>
    </row>
    <row r="1434" spans="2:4" ht="12.75">
      <c r="B1434" s="55"/>
      <c r="C1434" s="54" t="s">
        <v>9</v>
      </c>
      <c r="D1434" s="54">
        <f>D1433-D1432</f>
        <v>-3100.39</v>
      </c>
    </row>
    <row r="1435" spans="2:4" ht="12.75">
      <c r="B1435" s="55">
        <v>3</v>
      </c>
      <c r="C1435" s="58" t="s">
        <v>91</v>
      </c>
      <c r="D1435" s="54"/>
    </row>
    <row r="1436" spans="2:4" ht="12.75">
      <c r="B1436" s="55"/>
      <c r="C1436" s="54" t="s">
        <v>7</v>
      </c>
      <c r="D1436" s="59">
        <v>405054.37</v>
      </c>
    </row>
    <row r="1437" spans="2:4" ht="12.75">
      <c r="B1437" s="55"/>
      <c r="C1437" s="54" t="s">
        <v>8</v>
      </c>
      <c r="D1437" s="59">
        <v>350783.54</v>
      </c>
    </row>
    <row r="1438" spans="2:4" ht="12.75">
      <c r="B1438" s="55"/>
      <c r="C1438" s="54" t="s">
        <v>9</v>
      </c>
      <c r="D1438" s="59">
        <f>D1437-D1436</f>
        <v>-54270.830000000016</v>
      </c>
    </row>
    <row r="1439" spans="2:4" ht="12.75">
      <c r="B1439" s="55">
        <v>4</v>
      </c>
      <c r="C1439" s="60" t="s">
        <v>10</v>
      </c>
      <c r="D1439" s="55" t="s">
        <v>11</v>
      </c>
    </row>
    <row r="1440" spans="2:4" ht="12.75">
      <c r="B1440" s="61" t="s">
        <v>14</v>
      </c>
      <c r="C1440" s="61"/>
      <c r="D1440" s="57">
        <v>54.68</v>
      </c>
    </row>
    <row r="1441" spans="2:4" ht="12.75" customHeight="1">
      <c r="B1441" s="62" t="s">
        <v>34</v>
      </c>
      <c r="C1441" s="62"/>
      <c r="D1441" s="55">
        <f>D1442+D1443+D1444</f>
        <v>157.63</v>
      </c>
    </row>
    <row r="1442" spans="2:4" ht="12.75">
      <c r="B1442" s="54"/>
      <c r="C1442" s="63" t="s">
        <v>35</v>
      </c>
      <c r="D1442" s="59">
        <v>77</v>
      </c>
    </row>
    <row r="1443" spans="2:4" ht="12.75">
      <c r="B1443" s="54"/>
      <c r="C1443" s="63" t="s">
        <v>36</v>
      </c>
      <c r="D1443" s="72">
        <v>80.63</v>
      </c>
    </row>
    <row r="1444" spans="2:4" ht="12.75">
      <c r="B1444" s="61" t="s">
        <v>37</v>
      </c>
      <c r="C1444" s="61"/>
      <c r="D1444" s="72">
        <v>0</v>
      </c>
    </row>
    <row r="1445" spans="2:4" ht="12.75" customHeight="1">
      <c r="B1445" s="65" t="s">
        <v>38</v>
      </c>
      <c r="C1445" s="65"/>
      <c r="D1445" s="66">
        <f>D1446+D1448+D1449+D1447</f>
        <v>117.21000000000001</v>
      </c>
    </row>
    <row r="1446" spans="2:4" ht="12.75">
      <c r="B1446" s="54"/>
      <c r="C1446" s="63" t="s">
        <v>15</v>
      </c>
      <c r="D1446" s="54">
        <f>76.73+15.5+6.74+9.93+1.93+0.5+1.64</f>
        <v>112.97000000000001</v>
      </c>
    </row>
    <row r="1447" spans="2:4" ht="12.75">
      <c r="B1447" s="54"/>
      <c r="C1447" s="63" t="s">
        <v>39</v>
      </c>
      <c r="D1447" s="59">
        <v>3.21</v>
      </c>
    </row>
    <row r="1448" spans="2:4" ht="12.75">
      <c r="B1448" s="54"/>
      <c r="C1448" s="67" t="s">
        <v>40</v>
      </c>
      <c r="D1448" s="59">
        <v>0</v>
      </c>
    </row>
    <row r="1449" spans="2:4" ht="12.75">
      <c r="B1449" s="54"/>
      <c r="C1449" s="63" t="s">
        <v>41</v>
      </c>
      <c r="D1449" s="59">
        <f>0.18+0.85</f>
        <v>1.03</v>
      </c>
    </row>
    <row r="1450" spans="2:4" ht="12.75">
      <c r="B1450" s="61" t="s">
        <v>19</v>
      </c>
      <c r="C1450" s="61"/>
      <c r="D1450" s="73">
        <v>10.51</v>
      </c>
    </row>
    <row r="1451" spans="2:4" ht="12.75">
      <c r="B1451" s="68" t="s">
        <v>42</v>
      </c>
      <c r="C1451" s="68"/>
      <c r="D1451" s="55">
        <f>30.42+11.46+0.5</f>
        <v>42.38</v>
      </c>
    </row>
    <row r="1452" spans="2:4" ht="12.75" customHeight="1">
      <c r="B1452" s="78" t="s">
        <v>92</v>
      </c>
      <c r="C1452" s="78"/>
      <c r="D1452" s="55">
        <v>21.84</v>
      </c>
    </row>
    <row r="1453" spans="2:4" ht="12.75">
      <c r="B1453" s="54"/>
      <c r="C1453" s="40" t="s">
        <v>21</v>
      </c>
      <c r="D1453" s="66">
        <f>D1440+D1441+D1445+D1450+D1451+D1452</f>
        <v>404.24999999999994</v>
      </c>
    </row>
    <row r="1454" spans="2:4" ht="12.75">
      <c r="B1454" s="55">
        <v>5</v>
      </c>
      <c r="C1454" s="60" t="s">
        <v>9</v>
      </c>
      <c r="D1454" s="66">
        <f>D1453-D1437/1000</f>
        <v>53.466459999999984</v>
      </c>
    </row>
    <row r="1455" spans="2:4" ht="12.75">
      <c r="B1455" s="69"/>
      <c r="C1455" s="69"/>
      <c r="D1455" s="69"/>
    </row>
    <row r="1456" spans="2:4" ht="12.75">
      <c r="B1456" s="70" t="s">
        <v>82</v>
      </c>
      <c r="C1456" s="70"/>
      <c r="D1456" s="70"/>
    </row>
    <row r="1458" spans="2:4" ht="12.75">
      <c r="B1458" s="53" t="s">
        <v>0</v>
      </c>
      <c r="C1458" s="53"/>
      <c r="D1458" s="53"/>
    </row>
    <row r="1459" spans="2:4" ht="12.75">
      <c r="B1459" s="53" t="s">
        <v>30</v>
      </c>
      <c r="C1459" s="53"/>
      <c r="D1459" s="53"/>
    </row>
    <row r="1460" spans="2:4" ht="12.75">
      <c r="B1460" s="53" t="s">
        <v>100</v>
      </c>
      <c r="C1460" s="53"/>
      <c r="D1460" s="53"/>
    </row>
    <row r="1461" spans="2:4" ht="12.75">
      <c r="B1461" s="54"/>
      <c r="C1461" s="54" t="s">
        <v>3</v>
      </c>
      <c r="D1461" s="55" t="s">
        <v>4</v>
      </c>
    </row>
    <row r="1462" spans="2:4" ht="12.75">
      <c r="B1462" s="55">
        <v>1</v>
      </c>
      <c r="C1462" s="56" t="s">
        <v>5</v>
      </c>
      <c r="D1462" s="54">
        <v>2766.49</v>
      </c>
    </row>
    <row r="1463" spans="2:4" ht="12.75">
      <c r="B1463" s="55">
        <v>2</v>
      </c>
      <c r="C1463" s="55" t="s">
        <v>32</v>
      </c>
      <c r="D1463" s="54"/>
    </row>
    <row r="1464" spans="2:4" ht="12.75">
      <c r="B1464" s="54"/>
      <c r="C1464" s="54" t="s">
        <v>7</v>
      </c>
      <c r="D1464" s="59"/>
    </row>
    <row r="1465" spans="2:4" ht="12.75">
      <c r="B1465" s="54"/>
      <c r="C1465" s="54" t="s">
        <v>33</v>
      </c>
      <c r="D1465" s="59">
        <v>715.7</v>
      </c>
    </row>
    <row r="1466" spans="2:4" ht="12.75">
      <c r="B1466" s="54"/>
      <c r="C1466" s="54" t="s">
        <v>9</v>
      </c>
      <c r="D1466" s="59">
        <f>D1465-D1464</f>
        <v>715.7</v>
      </c>
    </row>
    <row r="1467" spans="2:4" ht="12.75">
      <c r="B1467" s="55">
        <v>3</v>
      </c>
      <c r="C1467" s="58" t="s">
        <v>6</v>
      </c>
      <c r="D1467" s="54"/>
    </row>
    <row r="1468" spans="2:4" ht="12.75">
      <c r="B1468" s="55"/>
      <c r="C1468" s="54" t="s">
        <v>7</v>
      </c>
      <c r="D1468" s="59">
        <v>521222.93</v>
      </c>
    </row>
    <row r="1469" spans="2:4" ht="12.75">
      <c r="B1469" s="55"/>
      <c r="C1469" s="54" t="s">
        <v>8</v>
      </c>
      <c r="D1469" s="59">
        <v>515484.81</v>
      </c>
    </row>
    <row r="1470" spans="2:4" ht="12.75">
      <c r="B1470" s="55"/>
      <c r="C1470" s="54" t="s">
        <v>9</v>
      </c>
      <c r="D1470" s="59">
        <f>D1469-D1468</f>
        <v>-5738.119999999995</v>
      </c>
    </row>
    <row r="1471" spans="2:4" ht="12.75">
      <c r="B1471" s="55">
        <v>4</v>
      </c>
      <c r="C1471" s="60" t="s">
        <v>10</v>
      </c>
      <c r="D1471" s="55" t="s">
        <v>11</v>
      </c>
    </row>
    <row r="1472" spans="2:4" ht="12.75">
      <c r="B1472" s="61" t="s">
        <v>14</v>
      </c>
      <c r="C1472" s="61"/>
      <c r="D1472" s="59">
        <v>70.37</v>
      </c>
    </row>
    <row r="1473" spans="2:4" ht="12.75" customHeight="1">
      <c r="B1473" s="62" t="s">
        <v>34</v>
      </c>
      <c r="C1473" s="62"/>
      <c r="D1473" s="55">
        <f>D1474+D1475+D1476</f>
        <v>604.81</v>
      </c>
    </row>
    <row r="1474" spans="2:4" ht="12.75">
      <c r="B1474" s="54"/>
      <c r="C1474" s="63" t="s">
        <v>35</v>
      </c>
      <c r="D1474" s="59">
        <v>107.1</v>
      </c>
    </row>
    <row r="1475" spans="2:4" ht="12.75">
      <c r="B1475" s="54"/>
      <c r="C1475" s="63" t="s">
        <v>36</v>
      </c>
      <c r="D1475" s="72">
        <v>497.71</v>
      </c>
    </row>
    <row r="1476" spans="2:4" ht="12.75">
      <c r="B1476" s="61" t="s">
        <v>37</v>
      </c>
      <c r="C1476" s="61"/>
      <c r="D1476" s="72">
        <v>0</v>
      </c>
    </row>
    <row r="1477" spans="2:4" ht="12.75" customHeight="1">
      <c r="B1477" s="65" t="s">
        <v>38</v>
      </c>
      <c r="C1477" s="65"/>
      <c r="D1477" s="66">
        <f>D1478+D1480+D1481+D1479</f>
        <v>119.89999999999998</v>
      </c>
    </row>
    <row r="1478" spans="2:4" ht="12.75">
      <c r="B1478" s="54"/>
      <c r="C1478" s="63" t="s">
        <v>15</v>
      </c>
      <c r="D1478" s="54">
        <f>69.71+14.08+6.12+9.02+2.65+0.69+2.49+2.3</f>
        <v>107.05999999999999</v>
      </c>
    </row>
    <row r="1479" spans="2:4" ht="12.75">
      <c r="B1479" s="54"/>
      <c r="C1479" s="63" t="s">
        <v>39</v>
      </c>
      <c r="D1479" s="59">
        <v>10.05</v>
      </c>
    </row>
    <row r="1480" spans="2:4" ht="12.75">
      <c r="B1480" s="54"/>
      <c r="C1480" s="67" t="s">
        <v>40</v>
      </c>
      <c r="D1480" s="59">
        <v>1.33</v>
      </c>
    </row>
    <row r="1481" spans="2:4" ht="12.75">
      <c r="B1481" s="54"/>
      <c r="C1481" s="63" t="s">
        <v>41</v>
      </c>
      <c r="D1481" s="59">
        <f>0.26+1.2</f>
        <v>1.46</v>
      </c>
    </row>
    <row r="1482" spans="2:4" ht="12.75">
      <c r="B1482" s="61" t="s">
        <v>19</v>
      </c>
      <c r="C1482" s="61"/>
      <c r="D1482" s="73">
        <v>15.46</v>
      </c>
    </row>
    <row r="1483" spans="2:4" ht="12.75">
      <c r="B1483" s="68" t="s">
        <v>42</v>
      </c>
      <c r="C1483" s="68"/>
      <c r="D1483" s="66">
        <f>42.33+15.95+0.71</f>
        <v>58.99</v>
      </c>
    </row>
    <row r="1484" spans="2:4" ht="12.75">
      <c r="B1484" s="54"/>
      <c r="C1484" s="40" t="s">
        <v>21</v>
      </c>
      <c r="D1484" s="66">
        <f>D1472+D1473+D1477+D1482+D1483</f>
        <v>869.53</v>
      </c>
    </row>
    <row r="1485" spans="2:4" ht="12.75">
      <c r="B1485" s="55">
        <v>5</v>
      </c>
      <c r="C1485" s="60" t="s">
        <v>9</v>
      </c>
      <c r="D1485" s="66">
        <f>D1484-D1469/1000</f>
        <v>354.04518999999993</v>
      </c>
    </row>
    <row r="1486" spans="2:4" ht="12.75">
      <c r="B1486" s="69"/>
      <c r="C1486" s="69"/>
      <c r="D1486" s="69"/>
    </row>
    <row r="1487" spans="2:4" ht="12.75">
      <c r="B1487" s="70" t="s">
        <v>47</v>
      </c>
      <c r="C1487" s="70"/>
      <c r="D1487" s="70"/>
    </row>
    <row r="1489" spans="2:4" ht="12.75">
      <c r="B1489" s="53" t="s">
        <v>0</v>
      </c>
      <c r="C1489" s="53"/>
      <c r="D1489" s="53"/>
    </row>
    <row r="1490" spans="2:4" ht="12.75">
      <c r="B1490" s="53" t="s">
        <v>30</v>
      </c>
      <c r="C1490" s="53"/>
      <c r="D1490" s="53"/>
    </row>
    <row r="1491" spans="2:4" ht="12.75">
      <c r="B1491" s="53" t="s">
        <v>101</v>
      </c>
      <c r="C1491" s="53"/>
      <c r="D1491" s="53"/>
    </row>
    <row r="1492" spans="2:4" ht="12.75">
      <c r="B1492" s="54"/>
      <c r="C1492" s="54" t="s">
        <v>3</v>
      </c>
      <c r="D1492" s="55" t="s">
        <v>4</v>
      </c>
    </row>
    <row r="1493" spans="2:4" ht="12.75">
      <c r="B1493" s="55">
        <v>1</v>
      </c>
      <c r="C1493" s="56" t="s">
        <v>5</v>
      </c>
      <c r="D1493" s="54">
        <v>2817.86</v>
      </c>
    </row>
    <row r="1494" spans="2:4" ht="12.75">
      <c r="B1494" s="55">
        <v>2</v>
      </c>
      <c r="C1494" s="58" t="s">
        <v>6</v>
      </c>
      <c r="D1494" s="54"/>
    </row>
    <row r="1495" spans="2:4" ht="12.75">
      <c r="B1495" s="55"/>
      <c r="C1495" s="54" t="s">
        <v>7</v>
      </c>
      <c r="D1495" s="59">
        <v>518598.67</v>
      </c>
    </row>
    <row r="1496" spans="2:4" ht="12.75">
      <c r="B1496" s="55"/>
      <c r="C1496" s="54" t="s">
        <v>8</v>
      </c>
      <c r="D1496" s="59">
        <v>531434.88</v>
      </c>
    </row>
    <row r="1497" spans="2:4" ht="12.75">
      <c r="B1497" s="55"/>
      <c r="C1497" s="54" t="s">
        <v>9</v>
      </c>
      <c r="D1497" s="59">
        <f>D1496-D1495</f>
        <v>12836.210000000021</v>
      </c>
    </row>
    <row r="1498" spans="2:4" ht="12.75">
      <c r="B1498" s="55">
        <v>3</v>
      </c>
      <c r="C1498" s="60" t="s">
        <v>10</v>
      </c>
      <c r="D1498" s="55" t="s">
        <v>11</v>
      </c>
    </row>
    <row r="1499" spans="2:4" ht="12.75">
      <c r="B1499" s="61" t="s">
        <v>14</v>
      </c>
      <c r="C1499" s="61"/>
      <c r="D1499" s="59">
        <v>70</v>
      </c>
    </row>
    <row r="1500" spans="2:4" ht="12.75" customHeight="1">
      <c r="B1500" s="62" t="s">
        <v>34</v>
      </c>
      <c r="C1500" s="62"/>
      <c r="D1500" s="55">
        <f>D1501+D1502+D1503</f>
        <v>180.64</v>
      </c>
    </row>
    <row r="1501" spans="2:4" ht="12.75">
      <c r="B1501" s="54"/>
      <c r="C1501" s="63" t="s">
        <v>35</v>
      </c>
      <c r="D1501" s="59">
        <v>109.1</v>
      </c>
    </row>
    <row r="1502" spans="2:4" ht="12.75">
      <c r="B1502" s="54"/>
      <c r="C1502" s="63" t="s">
        <v>36</v>
      </c>
      <c r="D1502" s="72">
        <v>67.74</v>
      </c>
    </row>
    <row r="1503" spans="2:4" ht="12.75">
      <c r="B1503" s="61" t="s">
        <v>37</v>
      </c>
      <c r="C1503" s="61"/>
      <c r="D1503" s="72">
        <v>3.8</v>
      </c>
    </row>
    <row r="1504" spans="2:4" ht="12.75" customHeight="1">
      <c r="B1504" s="65" t="s">
        <v>38</v>
      </c>
      <c r="C1504" s="65"/>
      <c r="D1504" s="66">
        <f>D1505+D1507+D1508+D1506</f>
        <v>129.61999999999998</v>
      </c>
    </row>
    <row r="1505" spans="2:4" ht="12.75">
      <c r="B1505" s="54"/>
      <c r="C1505" s="63" t="s">
        <v>15</v>
      </c>
      <c r="D1505" s="54">
        <f>74.6+15.07+6.55+9.66+2.76+0.71+3.86+4.43</f>
        <v>117.63999999999999</v>
      </c>
    </row>
    <row r="1506" spans="2:4" ht="12.75">
      <c r="B1506" s="54"/>
      <c r="C1506" s="63" t="s">
        <v>39</v>
      </c>
      <c r="D1506" s="59">
        <v>10.54</v>
      </c>
    </row>
    <row r="1507" spans="2:4" ht="12.75">
      <c r="B1507" s="54"/>
      <c r="C1507" s="67" t="s">
        <v>40</v>
      </c>
      <c r="D1507" s="59">
        <v>0</v>
      </c>
    </row>
    <row r="1508" spans="2:4" ht="12.75">
      <c r="B1508" s="54"/>
      <c r="C1508" s="63" t="s">
        <v>41</v>
      </c>
      <c r="D1508" s="59">
        <f>0.26+1.18</f>
        <v>1.44</v>
      </c>
    </row>
    <row r="1509" spans="2:4" ht="12.75">
      <c r="B1509" s="61" t="s">
        <v>19</v>
      </c>
      <c r="C1509" s="61"/>
      <c r="D1509" s="66">
        <v>15.9</v>
      </c>
    </row>
    <row r="1510" spans="2:4" ht="12.75">
      <c r="B1510" s="68" t="s">
        <v>42</v>
      </c>
      <c r="C1510" s="68"/>
      <c r="D1510" s="66">
        <f>43.11+16.25+0.71</f>
        <v>60.07</v>
      </c>
    </row>
    <row r="1511" spans="2:4" ht="12.75">
      <c r="B1511" s="54"/>
      <c r="C1511" s="40" t="s">
        <v>21</v>
      </c>
      <c r="D1511" s="66">
        <f>D1499+D1500+D1504+D1509+D1510</f>
        <v>456.22999999999996</v>
      </c>
    </row>
    <row r="1512" spans="2:4" ht="12.75">
      <c r="B1512" s="55">
        <v>4</v>
      </c>
      <c r="C1512" s="60" t="s">
        <v>9</v>
      </c>
      <c r="D1512" s="66">
        <f>D1511-D1496/1000</f>
        <v>-75.20488000000006</v>
      </c>
    </row>
    <row r="1513" spans="2:4" ht="12.75">
      <c r="B1513" s="69"/>
      <c r="C1513" s="69"/>
      <c r="D1513" s="69"/>
    </row>
    <row r="1514" spans="2:4" ht="12.75">
      <c r="B1514" s="70" t="s">
        <v>47</v>
      </c>
      <c r="C1514" s="70"/>
      <c r="D1514" s="70"/>
    </row>
    <row r="1516" spans="2:4" ht="12.75">
      <c r="B1516" s="53" t="s">
        <v>0</v>
      </c>
      <c r="C1516" s="53"/>
      <c r="D1516" s="53"/>
    </row>
    <row r="1517" spans="2:4" ht="12.75">
      <c r="B1517" s="53" t="s">
        <v>30</v>
      </c>
      <c r="C1517" s="53"/>
      <c r="D1517" s="53"/>
    </row>
    <row r="1518" spans="2:4" ht="12.75">
      <c r="B1518" s="53" t="s">
        <v>102</v>
      </c>
      <c r="C1518" s="53"/>
      <c r="D1518" s="53"/>
    </row>
    <row r="1519" spans="2:4" ht="12.75">
      <c r="B1519" s="54"/>
      <c r="C1519" s="54" t="s">
        <v>3</v>
      </c>
      <c r="D1519" s="55" t="s">
        <v>4</v>
      </c>
    </row>
    <row r="1520" spans="2:4" ht="12.75">
      <c r="B1520" s="55">
        <v>1</v>
      </c>
      <c r="C1520" s="56" t="s">
        <v>5</v>
      </c>
      <c r="D1520" s="54">
        <v>2816.6</v>
      </c>
    </row>
    <row r="1521" spans="2:4" ht="12.75">
      <c r="B1521" s="55">
        <v>2</v>
      </c>
      <c r="C1521" s="55" t="s">
        <v>32</v>
      </c>
      <c r="D1521" s="54"/>
    </row>
    <row r="1522" spans="2:4" ht="12.75">
      <c r="B1522" s="54"/>
      <c r="C1522" s="54" t="s">
        <v>7</v>
      </c>
      <c r="D1522" s="59">
        <v>5808</v>
      </c>
    </row>
    <row r="1523" spans="2:4" ht="12.75">
      <c r="B1523" s="54"/>
      <c r="C1523" s="54" t="s">
        <v>33</v>
      </c>
      <c r="D1523" s="59">
        <v>4254.06</v>
      </c>
    </row>
    <row r="1524" spans="2:4" ht="12.75">
      <c r="B1524" s="54"/>
      <c r="C1524" s="54" t="s">
        <v>9</v>
      </c>
      <c r="D1524" s="59">
        <f>D1523-D1522</f>
        <v>-1553.9399999999996</v>
      </c>
    </row>
    <row r="1525" spans="2:4" ht="12.75">
      <c r="B1525" s="55">
        <v>3</v>
      </c>
      <c r="C1525" s="58" t="s">
        <v>53</v>
      </c>
      <c r="D1525" s="54"/>
    </row>
    <row r="1526" spans="2:4" ht="12.75">
      <c r="B1526" s="55"/>
      <c r="C1526" s="54" t="s">
        <v>7</v>
      </c>
      <c r="D1526" s="59">
        <v>539730.58</v>
      </c>
    </row>
    <row r="1527" spans="2:4" ht="12.75">
      <c r="B1527" s="55"/>
      <c r="C1527" s="54" t="s">
        <v>8</v>
      </c>
      <c r="D1527" s="59">
        <v>514594.58</v>
      </c>
    </row>
    <row r="1528" spans="2:4" ht="12.75">
      <c r="B1528" s="55"/>
      <c r="C1528" s="54" t="s">
        <v>9</v>
      </c>
      <c r="D1528" s="59">
        <f>D1527-D1526</f>
        <v>-25135.99999999994</v>
      </c>
    </row>
    <row r="1529" spans="2:4" ht="12.75">
      <c r="B1529" s="55">
        <v>4</v>
      </c>
      <c r="C1529" s="60" t="s">
        <v>10</v>
      </c>
      <c r="D1529" s="55" t="s">
        <v>11</v>
      </c>
    </row>
    <row r="1530" spans="2:4" ht="12.75">
      <c r="B1530" s="61" t="s">
        <v>14</v>
      </c>
      <c r="C1530" s="61"/>
      <c r="D1530" s="59">
        <v>72.86</v>
      </c>
    </row>
    <row r="1531" spans="2:4" ht="12.75" customHeight="1">
      <c r="B1531" s="62" t="s">
        <v>34</v>
      </c>
      <c r="C1531" s="62"/>
      <c r="D1531" s="55">
        <f>D1532+D1533+D1534</f>
        <v>189.93</v>
      </c>
    </row>
    <row r="1532" spans="2:4" ht="12.75">
      <c r="B1532" s="54"/>
      <c r="C1532" s="63" t="s">
        <v>35</v>
      </c>
      <c r="D1532" s="59">
        <v>109.03</v>
      </c>
    </row>
    <row r="1533" spans="2:4" ht="12.75">
      <c r="B1533" s="54"/>
      <c r="C1533" s="63" t="s">
        <v>36</v>
      </c>
      <c r="D1533" s="72">
        <v>62.1</v>
      </c>
    </row>
    <row r="1534" spans="2:4" ht="12.75">
      <c r="B1534" s="61" t="s">
        <v>37</v>
      </c>
      <c r="C1534" s="61"/>
      <c r="D1534" s="72">
        <v>18.8</v>
      </c>
    </row>
    <row r="1535" spans="2:4" ht="12.75" customHeight="1">
      <c r="B1535" s="65" t="s">
        <v>38</v>
      </c>
      <c r="C1535" s="65"/>
      <c r="D1535" s="66">
        <f>D1536+D1538+D1539+D1537</f>
        <v>129.92999999999998</v>
      </c>
    </row>
    <row r="1536" spans="2:4" ht="12.75">
      <c r="B1536" s="54"/>
      <c r="C1536" s="63" t="s">
        <v>15</v>
      </c>
      <c r="D1536" s="54">
        <f>77.35+15.62+6.8+10+2.77+0.71+3.6+2.32</f>
        <v>119.16999999999997</v>
      </c>
    </row>
    <row r="1537" spans="2:4" ht="12.75">
      <c r="B1537" s="54"/>
      <c r="C1537" s="63" t="s">
        <v>39</v>
      </c>
      <c r="D1537" s="59">
        <v>5</v>
      </c>
    </row>
    <row r="1538" spans="2:4" ht="12.75">
      <c r="B1538" s="54"/>
      <c r="C1538" s="67" t="s">
        <v>40</v>
      </c>
      <c r="D1538" s="59">
        <v>0</v>
      </c>
    </row>
    <row r="1539" spans="2:4" ht="12.75">
      <c r="B1539" s="54"/>
      <c r="C1539" s="63" t="s">
        <v>41</v>
      </c>
      <c r="D1539" s="59">
        <f>0.26+1.2+4.3</f>
        <v>5.76</v>
      </c>
    </row>
    <row r="1540" spans="2:4" ht="12.75">
      <c r="B1540" s="61" t="s">
        <v>19</v>
      </c>
      <c r="C1540" s="61"/>
      <c r="D1540" s="73">
        <v>15.44</v>
      </c>
    </row>
    <row r="1541" spans="2:4" ht="12.75">
      <c r="B1541" s="68" t="s">
        <v>42</v>
      </c>
      <c r="C1541" s="68"/>
      <c r="D1541" s="66">
        <f>43.09+16.24+0.7</f>
        <v>60.03</v>
      </c>
    </row>
    <row r="1542" spans="2:4" ht="12.75">
      <c r="B1542" s="68" t="s">
        <v>54</v>
      </c>
      <c r="C1542" s="68"/>
      <c r="D1542" s="66">
        <v>24.83</v>
      </c>
    </row>
    <row r="1543" spans="2:4" ht="12.75">
      <c r="B1543" s="54"/>
      <c r="C1543" s="40" t="s">
        <v>21</v>
      </c>
      <c r="D1543" s="66">
        <f>D1530+D1531+D1535+D1540+D1541+D1542</f>
        <v>493.02000000000004</v>
      </c>
    </row>
    <row r="1544" spans="2:4" ht="12.75">
      <c r="B1544" s="55">
        <v>5</v>
      </c>
      <c r="C1544" s="60" t="s">
        <v>9</v>
      </c>
      <c r="D1544" s="66">
        <f>D1543-D1527/1000</f>
        <v>-21.574580000000026</v>
      </c>
    </row>
    <row r="1545" spans="2:4" ht="12.75">
      <c r="B1545" s="69"/>
      <c r="C1545" s="69"/>
      <c r="D1545" s="69"/>
    </row>
    <row r="1546" spans="2:4" ht="12.75">
      <c r="B1546" s="70" t="s">
        <v>47</v>
      </c>
      <c r="C1546" s="70"/>
      <c r="D1546" s="70"/>
    </row>
    <row r="1548" spans="2:4" ht="12.75">
      <c r="B1548" s="53" t="s">
        <v>0</v>
      </c>
      <c r="C1548" s="53"/>
      <c r="D1548" s="53"/>
    </row>
    <row r="1549" spans="2:4" ht="12.75">
      <c r="B1549" s="53" t="s">
        <v>30</v>
      </c>
      <c r="C1549" s="53"/>
      <c r="D1549" s="53"/>
    </row>
    <row r="1550" spans="2:4" ht="12.75">
      <c r="B1550" s="53" t="s">
        <v>103</v>
      </c>
      <c r="C1550" s="53"/>
      <c r="D1550" s="53"/>
    </row>
    <row r="1551" spans="2:4" ht="12.75">
      <c r="B1551" s="54"/>
      <c r="C1551" s="54" t="s">
        <v>3</v>
      </c>
      <c r="D1551" s="55" t="s">
        <v>4</v>
      </c>
    </row>
    <row r="1552" spans="2:4" ht="12.75">
      <c r="B1552" s="55">
        <v>1</v>
      </c>
      <c r="C1552" s="56" t="s">
        <v>5</v>
      </c>
      <c r="D1552" s="54">
        <v>745.6</v>
      </c>
    </row>
    <row r="1553" spans="2:4" ht="12.75">
      <c r="B1553" s="55">
        <v>2</v>
      </c>
      <c r="C1553" s="55" t="s">
        <v>32</v>
      </c>
      <c r="D1553" s="54"/>
    </row>
    <row r="1554" spans="2:4" ht="12.75">
      <c r="B1554" s="54"/>
      <c r="C1554" s="54" t="s">
        <v>7</v>
      </c>
      <c r="D1554" s="59"/>
    </row>
    <row r="1555" spans="2:4" ht="12.75">
      <c r="B1555" s="54"/>
      <c r="C1555" s="54" t="s">
        <v>33</v>
      </c>
      <c r="D1555" s="59">
        <v>347.07</v>
      </c>
    </row>
    <row r="1556" spans="2:4" ht="12.75">
      <c r="B1556" s="54"/>
      <c r="C1556" s="54" t="s">
        <v>9</v>
      </c>
      <c r="D1556" s="59">
        <f>D1555-D1554</f>
        <v>347.07</v>
      </c>
    </row>
    <row r="1557" spans="2:4" ht="12.75">
      <c r="B1557" s="55">
        <v>3</v>
      </c>
      <c r="C1557" s="58" t="s">
        <v>6</v>
      </c>
      <c r="D1557" s="54"/>
    </row>
    <row r="1558" spans="2:4" ht="12.75">
      <c r="B1558" s="55"/>
      <c r="C1558" s="54" t="s">
        <v>7</v>
      </c>
      <c r="D1558" s="59">
        <v>137639.24</v>
      </c>
    </row>
    <row r="1559" spans="2:4" ht="12.75">
      <c r="B1559" s="55"/>
      <c r="C1559" s="54" t="s">
        <v>8</v>
      </c>
      <c r="D1559" s="59">
        <v>113502.75</v>
      </c>
    </row>
    <row r="1560" spans="2:4" ht="12.75">
      <c r="B1560" s="55"/>
      <c r="C1560" s="54" t="s">
        <v>9</v>
      </c>
      <c r="D1560" s="59">
        <f>D1559-D1558</f>
        <v>-24136.48999999999</v>
      </c>
    </row>
    <row r="1561" spans="2:4" ht="12.75">
      <c r="B1561" s="55">
        <v>4</v>
      </c>
      <c r="C1561" s="60" t="s">
        <v>10</v>
      </c>
      <c r="D1561" s="55" t="s">
        <v>11</v>
      </c>
    </row>
    <row r="1562" spans="2:4" ht="12.75">
      <c r="B1562" s="61" t="s">
        <v>14</v>
      </c>
      <c r="C1562" s="61"/>
      <c r="D1562" s="59">
        <v>18.6</v>
      </c>
    </row>
    <row r="1563" spans="2:4" ht="12.75" customHeight="1">
      <c r="B1563" s="62" t="s">
        <v>34</v>
      </c>
      <c r="C1563" s="62"/>
      <c r="D1563" s="55">
        <f>D1564+D1565+D1566</f>
        <v>40.07</v>
      </c>
    </row>
    <row r="1564" spans="2:4" ht="12.75">
      <c r="B1564" s="54"/>
      <c r="C1564" s="63" t="s">
        <v>35</v>
      </c>
      <c r="D1564" s="59">
        <v>28.86</v>
      </c>
    </row>
    <row r="1565" spans="2:4" ht="12.75">
      <c r="B1565" s="54"/>
      <c r="C1565" s="63" t="s">
        <v>36</v>
      </c>
      <c r="D1565" s="72">
        <v>11.21</v>
      </c>
    </row>
    <row r="1566" spans="2:4" ht="12.75">
      <c r="B1566" s="61" t="s">
        <v>37</v>
      </c>
      <c r="C1566" s="61"/>
      <c r="D1566" s="72">
        <v>0</v>
      </c>
    </row>
    <row r="1567" spans="2:4" ht="12.75" customHeight="1">
      <c r="B1567" s="65" t="s">
        <v>38</v>
      </c>
      <c r="C1567" s="65"/>
      <c r="D1567" s="66">
        <f>D1568+D1570+D1571+D1569</f>
        <v>42.339999999999996</v>
      </c>
    </row>
    <row r="1568" spans="2:4" ht="12.75">
      <c r="B1568" s="54"/>
      <c r="C1568" s="63" t="s">
        <v>15</v>
      </c>
      <c r="D1568" s="54">
        <f>27+5.45+2.37+3.5+0.73+0.19+0.61</f>
        <v>39.849999999999994</v>
      </c>
    </row>
    <row r="1569" spans="2:4" ht="12.75">
      <c r="B1569" s="54"/>
      <c r="C1569" s="63" t="s">
        <v>39</v>
      </c>
      <c r="D1569" s="59">
        <v>2.1</v>
      </c>
    </row>
    <row r="1570" spans="2:4" ht="12.75">
      <c r="B1570" s="54"/>
      <c r="C1570" s="67" t="s">
        <v>40</v>
      </c>
      <c r="D1570" s="59">
        <v>0</v>
      </c>
    </row>
    <row r="1571" spans="2:4" ht="12.75">
      <c r="B1571" s="54"/>
      <c r="C1571" s="63" t="s">
        <v>41</v>
      </c>
      <c r="D1571" s="59">
        <f>0.07+0.32</f>
        <v>0.39</v>
      </c>
    </row>
    <row r="1572" spans="2:4" ht="12.75">
      <c r="B1572" s="61" t="s">
        <v>19</v>
      </c>
      <c r="C1572" s="61"/>
      <c r="D1572" s="66">
        <v>3.4</v>
      </c>
    </row>
    <row r="1573" spans="2:4" ht="12.75">
      <c r="B1573" s="68" t="s">
        <v>42</v>
      </c>
      <c r="C1573" s="68"/>
      <c r="D1573" s="66">
        <f>11.4+4.3+0.19</f>
        <v>15.889999999999999</v>
      </c>
    </row>
    <row r="1574" spans="2:4" ht="12.75">
      <c r="B1574" s="54"/>
      <c r="C1574" s="40" t="s">
        <v>21</v>
      </c>
      <c r="D1574" s="66">
        <f>D1562+D1563+D1567+D1572+D1573</f>
        <v>120.3</v>
      </c>
    </row>
    <row r="1575" spans="2:4" ht="12.75">
      <c r="B1575" s="55">
        <v>5</v>
      </c>
      <c r="C1575" s="60" t="s">
        <v>9</v>
      </c>
      <c r="D1575" s="66">
        <f>D1574-D1559/1000</f>
        <v>6.797249999999991</v>
      </c>
    </row>
    <row r="1576" spans="2:4" ht="12.75">
      <c r="B1576" s="69"/>
      <c r="C1576" s="69"/>
      <c r="D1576" s="69"/>
    </row>
    <row r="1577" spans="2:4" ht="12.75">
      <c r="B1577" s="70" t="s">
        <v>47</v>
      </c>
      <c r="C1577" s="70"/>
      <c r="D1577" s="70"/>
    </row>
    <row r="1579" spans="2:4" ht="12.75">
      <c r="B1579" s="53" t="s">
        <v>0</v>
      </c>
      <c r="C1579" s="53"/>
      <c r="D1579" s="53"/>
    </row>
    <row r="1580" spans="2:4" ht="12.75">
      <c r="B1580" s="53" t="s">
        <v>30</v>
      </c>
      <c r="C1580" s="53"/>
      <c r="D1580" s="53"/>
    </row>
    <row r="1581" spans="2:4" ht="12.75">
      <c r="B1581" s="53" t="s">
        <v>104</v>
      </c>
      <c r="C1581" s="53"/>
      <c r="D1581" s="53"/>
    </row>
    <row r="1582" spans="2:4" ht="12.75">
      <c r="B1582" s="54"/>
      <c r="C1582" s="54" t="s">
        <v>3</v>
      </c>
      <c r="D1582" s="55" t="s">
        <v>4</v>
      </c>
    </row>
    <row r="1583" spans="2:4" ht="12.75">
      <c r="B1583" s="55">
        <v>1</v>
      </c>
      <c r="C1583" s="56" t="s">
        <v>5</v>
      </c>
      <c r="D1583" s="54">
        <v>1735.64</v>
      </c>
    </row>
    <row r="1584" spans="2:4" ht="12.75">
      <c r="B1584" s="55">
        <v>2</v>
      </c>
      <c r="C1584" s="58" t="s">
        <v>53</v>
      </c>
      <c r="D1584" s="54"/>
    </row>
    <row r="1585" spans="2:4" ht="12.75">
      <c r="B1585" s="55"/>
      <c r="C1585" s="54" t="s">
        <v>7</v>
      </c>
      <c r="D1585" s="59">
        <v>345320.85</v>
      </c>
    </row>
    <row r="1586" spans="2:4" ht="12.75">
      <c r="B1586" s="55"/>
      <c r="C1586" s="54" t="s">
        <v>8</v>
      </c>
      <c r="D1586" s="59">
        <v>449432.87</v>
      </c>
    </row>
    <row r="1587" spans="2:4" ht="12.75">
      <c r="B1587" s="55"/>
      <c r="C1587" s="54" t="s">
        <v>9</v>
      </c>
      <c r="D1587" s="59">
        <f>D1586-D1585</f>
        <v>104112.02000000002</v>
      </c>
    </row>
    <row r="1588" spans="2:4" ht="12.75">
      <c r="B1588" s="55">
        <v>3</v>
      </c>
      <c r="C1588" s="60" t="s">
        <v>10</v>
      </c>
      <c r="D1588" s="55" t="s">
        <v>11</v>
      </c>
    </row>
    <row r="1589" spans="2:4" ht="12.75">
      <c r="B1589" s="61" t="s">
        <v>14</v>
      </c>
      <c r="C1589" s="61"/>
      <c r="D1589" s="59">
        <v>46.62</v>
      </c>
    </row>
    <row r="1590" spans="2:4" ht="12.75" customHeight="1">
      <c r="B1590" s="62" t="s">
        <v>34</v>
      </c>
      <c r="C1590" s="62"/>
      <c r="D1590" s="55">
        <f>D1591+D1592+D1593</f>
        <v>103.7</v>
      </c>
    </row>
    <row r="1591" spans="2:4" ht="12.75">
      <c r="B1591" s="54"/>
      <c r="C1591" s="63" t="s">
        <v>35</v>
      </c>
      <c r="D1591" s="59">
        <v>67.2</v>
      </c>
    </row>
    <row r="1592" spans="2:4" ht="12.75">
      <c r="B1592" s="54"/>
      <c r="C1592" s="63" t="s">
        <v>36</v>
      </c>
      <c r="D1592" s="72">
        <v>33.5</v>
      </c>
    </row>
    <row r="1593" spans="2:4" ht="12.75">
      <c r="B1593" s="61" t="s">
        <v>37</v>
      </c>
      <c r="C1593" s="61"/>
      <c r="D1593" s="72">
        <v>3</v>
      </c>
    </row>
    <row r="1594" spans="2:4" ht="12.75" customHeight="1">
      <c r="B1594" s="65" t="s">
        <v>38</v>
      </c>
      <c r="C1594" s="65"/>
      <c r="D1594" s="66">
        <f>D1595+D1597+D1598+D1596</f>
        <v>149.14999999999998</v>
      </c>
    </row>
    <row r="1595" spans="2:4" ht="12.75">
      <c r="B1595" s="54"/>
      <c r="C1595" s="63" t="s">
        <v>15</v>
      </c>
      <c r="D1595" s="54">
        <f>87.65+17.7+7.7+11.35+0.82+1.7+0.4+11.34+2.75</f>
        <v>141.41</v>
      </c>
    </row>
    <row r="1596" spans="2:4" ht="12.75">
      <c r="B1596" s="54"/>
      <c r="C1596" s="63" t="s">
        <v>39</v>
      </c>
      <c r="D1596" s="59">
        <v>5.6</v>
      </c>
    </row>
    <row r="1597" spans="2:4" ht="12.75">
      <c r="B1597" s="54"/>
      <c r="C1597" s="67" t="s">
        <v>40</v>
      </c>
      <c r="D1597" s="59">
        <v>1.25</v>
      </c>
    </row>
    <row r="1598" spans="2:4" ht="12.75">
      <c r="B1598" s="54"/>
      <c r="C1598" s="63" t="s">
        <v>41</v>
      </c>
      <c r="D1598" s="59">
        <f>0.16+0.73</f>
        <v>0.89</v>
      </c>
    </row>
    <row r="1599" spans="2:4" ht="12.75">
      <c r="B1599" s="61" t="s">
        <v>19</v>
      </c>
      <c r="C1599" s="61"/>
      <c r="D1599" s="73">
        <v>13.48</v>
      </c>
    </row>
    <row r="1600" spans="2:4" ht="12.75">
      <c r="B1600" s="68" t="s">
        <v>42</v>
      </c>
      <c r="C1600" s="68"/>
      <c r="D1600" s="66">
        <f>26.56+10+0.44</f>
        <v>37</v>
      </c>
    </row>
    <row r="1601" spans="2:4" ht="12.75">
      <c r="B1601" s="68" t="s">
        <v>54</v>
      </c>
      <c r="C1601" s="68"/>
      <c r="D1601" s="66">
        <v>24.83</v>
      </c>
    </row>
    <row r="1602" spans="2:4" ht="12.75">
      <c r="B1602" s="54"/>
      <c r="C1602" s="40" t="s">
        <v>21</v>
      </c>
      <c r="D1602" s="66">
        <f>D1589+D1590+D1594+D1599+D1600+D1601</f>
        <v>374.78</v>
      </c>
    </row>
    <row r="1603" spans="2:4" ht="12.75">
      <c r="B1603" s="55">
        <v>4</v>
      </c>
      <c r="C1603" s="60" t="s">
        <v>9</v>
      </c>
      <c r="D1603" s="66">
        <f>D1602-D1586/1000</f>
        <v>-74.65287000000001</v>
      </c>
    </row>
    <row r="1604" spans="2:4" ht="12.75">
      <c r="B1604" s="69"/>
      <c r="C1604" s="69"/>
      <c r="D1604" s="69"/>
    </row>
    <row r="1605" spans="2:4" ht="12.75">
      <c r="B1605" s="70" t="s">
        <v>47</v>
      </c>
      <c r="C1605" s="70"/>
      <c r="D1605" s="70"/>
    </row>
    <row r="1607" spans="2:4" ht="12.75">
      <c r="B1607" s="53" t="s">
        <v>0</v>
      </c>
      <c r="C1607" s="53"/>
      <c r="D1607" s="53"/>
    </row>
    <row r="1608" spans="2:4" ht="12.75">
      <c r="B1608" s="53" t="s">
        <v>30</v>
      </c>
      <c r="C1608" s="53"/>
      <c r="D1608" s="53"/>
    </row>
    <row r="1609" spans="2:4" ht="12.75">
      <c r="B1609" s="53" t="s">
        <v>105</v>
      </c>
      <c r="C1609" s="53"/>
      <c r="D1609" s="53"/>
    </row>
    <row r="1610" spans="2:4" ht="12.75">
      <c r="B1610" s="54"/>
      <c r="C1610" s="54" t="s">
        <v>3</v>
      </c>
      <c r="D1610" s="55" t="s">
        <v>4</v>
      </c>
    </row>
    <row r="1611" spans="2:4" ht="12.75">
      <c r="B1611" s="55">
        <v>1</v>
      </c>
      <c r="C1611" s="56" t="s">
        <v>5</v>
      </c>
      <c r="D1611" s="54">
        <v>1699.8</v>
      </c>
    </row>
    <row r="1612" spans="2:4" ht="12.75">
      <c r="B1612" s="55">
        <v>2</v>
      </c>
      <c r="C1612" s="55" t="s">
        <v>32</v>
      </c>
      <c r="D1612" s="54"/>
    </row>
    <row r="1613" spans="2:4" ht="12.75">
      <c r="B1613" s="54"/>
      <c r="C1613" s="54" t="s">
        <v>7</v>
      </c>
      <c r="D1613" s="59"/>
    </row>
    <row r="1614" spans="2:4" ht="12.75">
      <c r="B1614" s="54"/>
      <c r="C1614" s="54" t="s">
        <v>33</v>
      </c>
      <c r="D1614" s="59">
        <v>1590.18</v>
      </c>
    </row>
    <row r="1615" spans="2:4" ht="12.75">
      <c r="B1615" s="54"/>
      <c r="C1615" s="54" t="s">
        <v>9</v>
      </c>
      <c r="D1615" s="59">
        <f>D1614-D1613</f>
        <v>1590.18</v>
      </c>
    </row>
    <row r="1616" spans="2:4" ht="12.75">
      <c r="B1616" s="55">
        <v>3</v>
      </c>
      <c r="C1616" s="58" t="s">
        <v>6</v>
      </c>
      <c r="D1616" s="54"/>
    </row>
    <row r="1617" spans="2:4" ht="12.75">
      <c r="B1617" s="55"/>
      <c r="C1617" s="54" t="s">
        <v>7</v>
      </c>
      <c r="D1617" s="59">
        <v>320414.86</v>
      </c>
    </row>
    <row r="1618" spans="2:4" ht="12.75">
      <c r="B1618" s="55"/>
      <c r="C1618" s="54" t="s">
        <v>8</v>
      </c>
      <c r="D1618" s="59">
        <v>295559.36</v>
      </c>
    </row>
    <row r="1619" spans="2:4" ht="12.75">
      <c r="B1619" s="55"/>
      <c r="C1619" s="54" t="s">
        <v>9</v>
      </c>
      <c r="D1619" s="59">
        <f>D1618-D1617</f>
        <v>-24855.5</v>
      </c>
    </row>
    <row r="1620" spans="2:4" ht="12.75">
      <c r="B1620" s="55">
        <v>4</v>
      </c>
      <c r="C1620" s="60" t="s">
        <v>10</v>
      </c>
      <c r="D1620" s="55" t="s">
        <v>11</v>
      </c>
    </row>
    <row r="1621" spans="2:4" ht="12.75">
      <c r="B1621" s="61" t="s">
        <v>14</v>
      </c>
      <c r="C1621" s="61"/>
      <c r="D1621" s="59">
        <v>43.26</v>
      </c>
    </row>
    <row r="1622" spans="2:4" ht="12.75" customHeight="1">
      <c r="B1622" s="62" t="s">
        <v>34</v>
      </c>
      <c r="C1622" s="62"/>
      <c r="D1622" s="55">
        <f>D1623+D1624+D1625</f>
        <v>135.89999999999998</v>
      </c>
    </row>
    <row r="1623" spans="2:4" ht="12.75">
      <c r="B1623" s="54"/>
      <c r="C1623" s="63" t="s">
        <v>35</v>
      </c>
      <c r="D1623" s="59">
        <v>65.8</v>
      </c>
    </row>
    <row r="1624" spans="2:4" ht="12.75">
      <c r="B1624" s="54"/>
      <c r="C1624" s="63" t="s">
        <v>36</v>
      </c>
      <c r="D1624" s="72">
        <v>68.9</v>
      </c>
    </row>
    <row r="1625" spans="2:4" ht="12.75">
      <c r="B1625" s="61" t="s">
        <v>37</v>
      </c>
      <c r="C1625" s="61"/>
      <c r="D1625" s="72">
        <v>1.2</v>
      </c>
    </row>
    <row r="1626" spans="2:4" ht="12.75" customHeight="1">
      <c r="B1626" s="65" t="s">
        <v>38</v>
      </c>
      <c r="C1626" s="65"/>
      <c r="D1626" s="66">
        <f>D1627+D1629+D1630+D1628</f>
        <v>132.52</v>
      </c>
    </row>
    <row r="1627" spans="2:4" ht="12.75">
      <c r="B1627" s="54"/>
      <c r="C1627" s="63" t="s">
        <v>15</v>
      </c>
      <c r="D1627" s="54">
        <f>74.86+15.1+6.58+9.7+1.67+0.43+8.2+1.4</f>
        <v>117.94000000000001</v>
      </c>
    </row>
    <row r="1628" spans="2:4" ht="12.75">
      <c r="B1628" s="54"/>
      <c r="C1628" s="63" t="s">
        <v>39</v>
      </c>
      <c r="D1628" s="59">
        <v>5.5</v>
      </c>
    </row>
    <row r="1629" spans="2:4" ht="12.75">
      <c r="B1629" s="54"/>
      <c r="C1629" s="67" t="s">
        <v>40</v>
      </c>
      <c r="D1629" s="59">
        <v>0</v>
      </c>
    </row>
    <row r="1630" spans="2:4" ht="12.75">
      <c r="B1630" s="54"/>
      <c r="C1630" s="63" t="s">
        <v>41</v>
      </c>
      <c r="D1630" s="59">
        <f>0.16+0.72+8.2</f>
        <v>9.08</v>
      </c>
    </row>
    <row r="1631" spans="2:4" ht="12.75">
      <c r="B1631" s="61" t="s">
        <v>19</v>
      </c>
      <c r="C1631" s="61"/>
      <c r="D1631" s="66">
        <v>8.9</v>
      </c>
    </row>
    <row r="1632" spans="2:4" ht="12.75">
      <c r="B1632" s="68" t="s">
        <v>42</v>
      </c>
      <c r="C1632" s="68"/>
      <c r="D1632" s="66">
        <f>26+9.8+0.43</f>
        <v>36.23</v>
      </c>
    </row>
    <row r="1633" spans="2:4" ht="12.75">
      <c r="B1633" s="54"/>
      <c r="C1633" s="40" t="s">
        <v>21</v>
      </c>
      <c r="D1633" s="66">
        <f>D1621+D1622+D1626+D1631+D1632</f>
        <v>356.80999999999995</v>
      </c>
    </row>
    <row r="1634" spans="2:4" ht="12.75">
      <c r="B1634" s="55">
        <v>5</v>
      </c>
      <c r="C1634" s="60" t="s">
        <v>9</v>
      </c>
      <c r="D1634" s="66">
        <f>D1633-D1618/1000</f>
        <v>61.250639999999976</v>
      </c>
    </row>
    <row r="1635" spans="2:4" ht="12.75">
      <c r="B1635" s="69"/>
      <c r="C1635" s="69"/>
      <c r="D1635" s="69"/>
    </row>
    <row r="1636" spans="2:4" ht="12.75">
      <c r="B1636" s="70" t="s">
        <v>47</v>
      </c>
      <c r="C1636" s="70"/>
      <c r="D1636" s="70"/>
    </row>
    <row r="1638" spans="2:4" ht="12.75">
      <c r="B1638" s="53" t="s">
        <v>0</v>
      </c>
      <c r="C1638" s="53"/>
      <c r="D1638" s="53"/>
    </row>
    <row r="1639" spans="2:4" ht="12.75">
      <c r="B1639" s="53" t="s">
        <v>30</v>
      </c>
      <c r="C1639" s="53"/>
      <c r="D1639" s="53"/>
    </row>
    <row r="1640" spans="2:4" ht="12.75">
      <c r="B1640" s="53" t="s">
        <v>106</v>
      </c>
      <c r="C1640" s="53"/>
      <c r="D1640" s="53"/>
    </row>
    <row r="1641" spans="2:4" ht="12.75">
      <c r="B1641" s="54"/>
      <c r="C1641" s="54" t="s">
        <v>3</v>
      </c>
      <c r="D1641" s="55" t="s">
        <v>4</v>
      </c>
    </row>
    <row r="1642" spans="2:4" ht="12.75">
      <c r="B1642" s="55">
        <v>1</v>
      </c>
      <c r="C1642" s="56" t="s">
        <v>5</v>
      </c>
      <c r="D1642" s="54">
        <v>852.1</v>
      </c>
    </row>
    <row r="1643" spans="2:4" ht="12.75">
      <c r="B1643" s="55">
        <v>2</v>
      </c>
      <c r="C1643" s="55" t="s">
        <v>32</v>
      </c>
      <c r="D1643" s="54"/>
    </row>
    <row r="1644" spans="2:4" ht="12.75">
      <c r="B1644" s="54"/>
      <c r="C1644" s="54" t="s">
        <v>7</v>
      </c>
      <c r="D1644" s="59"/>
    </row>
    <row r="1645" spans="2:4" ht="12.75">
      <c r="B1645" s="54"/>
      <c r="C1645" s="54" t="s">
        <v>33</v>
      </c>
      <c r="D1645" s="59">
        <v>50.07</v>
      </c>
    </row>
    <row r="1646" spans="2:4" ht="12.75">
      <c r="B1646" s="54"/>
      <c r="C1646" s="54" t="s">
        <v>9</v>
      </c>
      <c r="D1646" s="59">
        <f>D1645-D1644</f>
        <v>50.07</v>
      </c>
    </row>
    <row r="1647" spans="2:4" ht="12.75">
      <c r="B1647" s="55">
        <v>3</v>
      </c>
      <c r="C1647" s="58" t="s">
        <v>6</v>
      </c>
      <c r="D1647" s="54"/>
    </row>
    <row r="1648" spans="2:4" ht="12.75">
      <c r="B1648" s="55"/>
      <c r="C1648" s="54" t="s">
        <v>7</v>
      </c>
      <c r="D1648" s="59">
        <v>156268.29</v>
      </c>
    </row>
    <row r="1649" spans="2:4" ht="12.75">
      <c r="B1649" s="55"/>
      <c r="C1649" s="54" t="s">
        <v>8</v>
      </c>
      <c r="D1649" s="59">
        <v>212124.86</v>
      </c>
    </row>
    <row r="1650" spans="2:4" ht="12.75">
      <c r="B1650" s="55"/>
      <c r="C1650" s="54" t="s">
        <v>9</v>
      </c>
      <c r="D1650" s="59">
        <f>D1649-D1648</f>
        <v>55856.56999999998</v>
      </c>
    </row>
    <row r="1651" spans="2:4" ht="12.75">
      <c r="B1651" s="55">
        <v>4</v>
      </c>
      <c r="C1651" s="60" t="s">
        <v>10</v>
      </c>
      <c r="D1651" s="55" t="s">
        <v>11</v>
      </c>
    </row>
    <row r="1652" spans="2:4" ht="12.75">
      <c r="B1652" s="61" t="s">
        <v>14</v>
      </c>
      <c r="C1652" s="61"/>
      <c r="D1652" s="59">
        <v>21.096</v>
      </c>
    </row>
    <row r="1653" spans="2:4" ht="12.75" customHeight="1">
      <c r="B1653" s="62" t="s">
        <v>34</v>
      </c>
      <c r="C1653" s="62"/>
      <c r="D1653" s="55">
        <f>D1654+D1655+D1656</f>
        <v>58.379999999999995</v>
      </c>
    </row>
    <row r="1654" spans="2:4" ht="12.75">
      <c r="B1654" s="54"/>
      <c r="C1654" s="63" t="s">
        <v>35</v>
      </c>
      <c r="D1654" s="59">
        <v>33</v>
      </c>
    </row>
    <row r="1655" spans="2:4" ht="12.75">
      <c r="B1655" s="54"/>
      <c r="C1655" s="63" t="s">
        <v>36</v>
      </c>
      <c r="D1655" s="72">
        <v>25.38</v>
      </c>
    </row>
    <row r="1656" spans="2:4" ht="12.75">
      <c r="B1656" s="61" t="s">
        <v>37</v>
      </c>
      <c r="C1656" s="61"/>
      <c r="D1656" s="72">
        <v>0</v>
      </c>
    </row>
    <row r="1657" spans="2:4" ht="12.75" customHeight="1">
      <c r="B1657" s="65" t="s">
        <v>38</v>
      </c>
      <c r="C1657" s="65"/>
      <c r="D1657" s="66">
        <f>D1658+D1660+D1661+D1659</f>
        <v>71.91</v>
      </c>
    </row>
    <row r="1658" spans="2:4" ht="12.75">
      <c r="B1658" s="54"/>
      <c r="C1658" s="63" t="s">
        <v>15</v>
      </c>
      <c r="D1658" s="54">
        <f>40.78+8.24+3.58+5.28+0.84+7.87+0.7+0.22</f>
        <v>67.51</v>
      </c>
    </row>
    <row r="1659" spans="2:4" ht="12.75">
      <c r="B1659" s="54"/>
      <c r="C1659" s="63" t="s">
        <v>39</v>
      </c>
      <c r="D1659" s="59">
        <v>3.96</v>
      </c>
    </row>
    <row r="1660" spans="2:4" ht="12.75">
      <c r="B1660" s="54"/>
      <c r="C1660" s="67" t="s">
        <v>40</v>
      </c>
      <c r="D1660" s="59">
        <v>0</v>
      </c>
    </row>
    <row r="1661" spans="2:4" ht="12.75">
      <c r="B1661" s="54"/>
      <c r="C1661" s="63" t="s">
        <v>41</v>
      </c>
      <c r="D1661" s="59">
        <f>0.08+0.36</f>
        <v>0.44</v>
      </c>
    </row>
    <row r="1662" spans="2:4" ht="12.75">
      <c r="B1662" s="61" t="s">
        <v>19</v>
      </c>
      <c r="C1662" s="61"/>
      <c r="D1662" s="66">
        <v>6.36</v>
      </c>
    </row>
    <row r="1663" spans="2:4" ht="12.75">
      <c r="B1663" s="68" t="s">
        <v>42</v>
      </c>
      <c r="C1663" s="68"/>
      <c r="D1663" s="66">
        <f>13.04+4.9+0.2</f>
        <v>18.139999999999997</v>
      </c>
    </row>
    <row r="1664" spans="2:4" ht="12.75">
      <c r="B1664" s="54"/>
      <c r="C1664" s="40" t="s">
        <v>21</v>
      </c>
      <c r="D1664" s="66">
        <f>D1652+D1653+D1657+D1662+D1663</f>
        <v>175.886</v>
      </c>
    </row>
    <row r="1665" spans="2:4" ht="12.75">
      <c r="B1665" s="55">
        <v>5</v>
      </c>
      <c r="C1665" s="60" t="s">
        <v>9</v>
      </c>
      <c r="D1665" s="66">
        <f>D1664-D1649/1000</f>
        <v>-36.23885999999999</v>
      </c>
    </row>
    <row r="1666" spans="2:4" ht="12.75">
      <c r="B1666" s="69"/>
      <c r="C1666" s="69"/>
      <c r="D1666" s="69"/>
    </row>
    <row r="1667" spans="2:4" ht="12.75">
      <c r="B1667" s="70" t="s">
        <v>47</v>
      </c>
      <c r="C1667" s="70"/>
      <c r="D1667" s="70"/>
    </row>
    <row r="1669" spans="2:4" ht="12.75">
      <c r="B1669" s="53" t="s">
        <v>0</v>
      </c>
      <c r="C1669" s="53"/>
      <c r="D1669" s="53"/>
    </row>
    <row r="1670" spans="2:4" ht="12.75">
      <c r="B1670" s="53" t="s">
        <v>30</v>
      </c>
      <c r="C1670" s="53"/>
      <c r="D1670" s="53"/>
    </row>
    <row r="1671" spans="2:4" ht="12.75">
      <c r="B1671" s="53" t="s">
        <v>107</v>
      </c>
      <c r="C1671" s="53"/>
      <c r="D1671" s="53"/>
    </row>
    <row r="1672" spans="2:4" ht="12.75">
      <c r="B1672" s="54"/>
      <c r="C1672" s="54" t="s">
        <v>3</v>
      </c>
      <c r="D1672" s="55" t="s">
        <v>4</v>
      </c>
    </row>
    <row r="1673" spans="2:4" ht="12.75">
      <c r="B1673" s="55">
        <v>1</v>
      </c>
      <c r="C1673" s="56" t="s">
        <v>5</v>
      </c>
      <c r="D1673" s="54">
        <v>895.91</v>
      </c>
    </row>
    <row r="1674" spans="2:4" ht="12.75">
      <c r="B1674" s="55">
        <v>2</v>
      </c>
      <c r="C1674" s="55" t="s">
        <v>32</v>
      </c>
      <c r="D1674" s="54"/>
    </row>
    <row r="1675" spans="2:4" ht="12.75">
      <c r="B1675" s="54"/>
      <c r="C1675" s="54" t="s">
        <v>7</v>
      </c>
      <c r="D1675" s="59"/>
    </row>
    <row r="1676" spans="2:4" ht="12.75">
      <c r="B1676" s="54"/>
      <c r="C1676" s="54" t="s">
        <v>33</v>
      </c>
      <c r="D1676" s="59">
        <v>736.02</v>
      </c>
    </row>
    <row r="1677" spans="2:4" ht="12.75">
      <c r="B1677" s="54"/>
      <c r="C1677" s="54" t="s">
        <v>9</v>
      </c>
      <c r="D1677" s="59">
        <f>D1676-D1675</f>
        <v>736.02</v>
      </c>
    </row>
    <row r="1678" spans="2:4" ht="12.75">
      <c r="B1678" s="55">
        <v>3</v>
      </c>
      <c r="C1678" s="58" t="s">
        <v>6</v>
      </c>
      <c r="D1678" s="54"/>
    </row>
    <row r="1679" spans="2:4" ht="12.75">
      <c r="B1679" s="55"/>
      <c r="C1679" s="54" t="s">
        <v>7</v>
      </c>
      <c r="D1679" s="59">
        <v>162808.68</v>
      </c>
    </row>
    <row r="1680" spans="2:4" ht="12.75">
      <c r="B1680" s="55"/>
      <c r="C1680" s="54" t="s">
        <v>8</v>
      </c>
      <c r="D1680" s="59">
        <v>159456.12</v>
      </c>
    </row>
    <row r="1681" spans="2:4" ht="12.75">
      <c r="B1681" s="55"/>
      <c r="C1681" s="54" t="s">
        <v>9</v>
      </c>
      <c r="D1681" s="59">
        <f>D1680-D1679</f>
        <v>-3352.5599999999977</v>
      </c>
    </row>
    <row r="1682" spans="2:4" ht="12.75">
      <c r="B1682" s="55">
        <v>4</v>
      </c>
      <c r="C1682" s="60" t="s">
        <v>10</v>
      </c>
      <c r="D1682" s="55" t="s">
        <v>11</v>
      </c>
    </row>
    <row r="1683" spans="2:4" ht="12.75">
      <c r="B1683" s="61" t="s">
        <v>14</v>
      </c>
      <c r="C1683" s="61"/>
      <c r="D1683" s="59">
        <v>21.98</v>
      </c>
    </row>
    <row r="1684" spans="2:4" ht="12.75" customHeight="1">
      <c r="B1684" s="62" t="s">
        <v>34</v>
      </c>
      <c r="C1684" s="62"/>
      <c r="D1684" s="55">
        <f>D1685+D1686+D1687</f>
        <v>60.66</v>
      </c>
    </row>
    <row r="1685" spans="2:4" ht="12.75">
      <c r="B1685" s="54"/>
      <c r="C1685" s="63" t="s">
        <v>35</v>
      </c>
      <c r="D1685" s="59">
        <v>34.68</v>
      </c>
    </row>
    <row r="1686" spans="2:4" ht="12.75">
      <c r="B1686" s="54"/>
      <c r="C1686" s="63" t="s">
        <v>36</v>
      </c>
      <c r="D1686" s="72">
        <v>25.98</v>
      </c>
    </row>
    <row r="1687" spans="2:4" ht="12.75">
      <c r="B1687" s="61" t="s">
        <v>37</v>
      </c>
      <c r="C1687" s="61"/>
      <c r="D1687" s="72">
        <v>0</v>
      </c>
    </row>
    <row r="1688" spans="2:4" ht="12.75" customHeight="1">
      <c r="B1688" s="65" t="s">
        <v>38</v>
      </c>
      <c r="C1688" s="65"/>
      <c r="D1688" s="66">
        <f>D1689+D1691+D1692+D1690</f>
        <v>67.05999999999999</v>
      </c>
    </row>
    <row r="1689" spans="2:4" ht="12.75">
      <c r="B1689" s="54"/>
      <c r="C1689" s="63" t="s">
        <v>15</v>
      </c>
      <c r="D1689" s="54">
        <f>42.9+8.66+3.77+5.55+0.9+0.23+1+0.74</f>
        <v>63.75</v>
      </c>
    </row>
    <row r="1690" spans="2:4" ht="12.75">
      <c r="B1690" s="54"/>
      <c r="C1690" s="63" t="s">
        <v>39</v>
      </c>
      <c r="D1690" s="59">
        <v>2.85</v>
      </c>
    </row>
    <row r="1691" spans="2:4" ht="12.75">
      <c r="B1691" s="54"/>
      <c r="C1691" s="67" t="s">
        <v>40</v>
      </c>
      <c r="D1691" s="59">
        <v>0</v>
      </c>
    </row>
    <row r="1692" spans="2:4" ht="12.75">
      <c r="B1692" s="54"/>
      <c r="C1692" s="63" t="s">
        <v>41</v>
      </c>
      <c r="D1692" s="59">
        <f>0.08+0.38</f>
        <v>0.46</v>
      </c>
    </row>
    <row r="1693" spans="2:4" ht="12.75">
      <c r="B1693" s="61" t="s">
        <v>19</v>
      </c>
      <c r="C1693" s="61"/>
      <c r="D1693" s="66">
        <v>4.78</v>
      </c>
    </row>
    <row r="1694" spans="2:4" ht="12.75">
      <c r="B1694" s="68" t="s">
        <v>42</v>
      </c>
      <c r="C1694" s="68"/>
      <c r="D1694" s="66">
        <f>13.7+5.16+0.22</f>
        <v>19.08</v>
      </c>
    </row>
    <row r="1695" spans="2:4" ht="12.75">
      <c r="B1695" s="54"/>
      <c r="C1695" s="40" t="s">
        <v>21</v>
      </c>
      <c r="D1695" s="66">
        <f>D1683+D1684+D1688+D1693+D1694</f>
        <v>173.56</v>
      </c>
    </row>
    <row r="1696" spans="2:4" ht="12.75">
      <c r="B1696" s="55">
        <v>5</v>
      </c>
      <c r="C1696" s="60" t="s">
        <v>9</v>
      </c>
      <c r="D1696" s="66">
        <f>D1695-D1680/1000</f>
        <v>14.103880000000004</v>
      </c>
    </row>
    <row r="1697" spans="2:4" ht="12.75">
      <c r="B1697" s="69"/>
      <c r="C1697" s="69"/>
      <c r="D1697" s="69"/>
    </row>
    <row r="1698" spans="2:4" ht="12.75">
      <c r="B1698" s="70" t="s">
        <v>47</v>
      </c>
      <c r="C1698" s="70"/>
      <c r="D1698" s="70"/>
    </row>
    <row r="1700" spans="2:4" ht="12.75">
      <c r="B1700" s="53" t="s">
        <v>0</v>
      </c>
      <c r="C1700" s="53"/>
      <c r="D1700" s="53"/>
    </row>
    <row r="1701" spans="2:4" ht="12.75">
      <c r="B1701" s="53" t="s">
        <v>30</v>
      </c>
      <c r="C1701" s="53"/>
      <c r="D1701" s="53"/>
    </row>
    <row r="1702" spans="2:4" ht="12.75">
      <c r="B1702" s="53" t="s">
        <v>108</v>
      </c>
      <c r="C1702" s="53"/>
      <c r="D1702" s="53"/>
    </row>
    <row r="1703" spans="2:4" ht="12.75">
      <c r="B1703" s="54"/>
      <c r="C1703" s="54" t="s">
        <v>3</v>
      </c>
      <c r="D1703" s="55" t="s">
        <v>4</v>
      </c>
    </row>
    <row r="1704" spans="2:4" ht="12.75">
      <c r="B1704" s="55">
        <v>1</v>
      </c>
      <c r="C1704" s="56" t="s">
        <v>5</v>
      </c>
      <c r="D1704" s="54">
        <v>813.1</v>
      </c>
    </row>
    <row r="1705" spans="2:4" ht="12.75">
      <c r="B1705" s="55">
        <v>2</v>
      </c>
      <c r="C1705" s="55" t="s">
        <v>32</v>
      </c>
      <c r="D1705" s="54"/>
    </row>
    <row r="1706" spans="2:4" ht="12.75">
      <c r="B1706" s="54"/>
      <c r="C1706" s="54" t="s">
        <v>7</v>
      </c>
      <c r="D1706" s="59"/>
    </row>
    <row r="1707" spans="2:4" ht="12.75">
      <c r="B1707" s="54"/>
      <c r="C1707" s="54" t="s">
        <v>33</v>
      </c>
      <c r="D1707" s="59">
        <v>1000</v>
      </c>
    </row>
    <row r="1708" spans="2:4" ht="12.75">
      <c r="B1708" s="54"/>
      <c r="C1708" s="54" t="s">
        <v>9</v>
      </c>
      <c r="D1708" s="59">
        <f>D1707-D1706</f>
        <v>1000</v>
      </c>
    </row>
    <row r="1709" spans="2:4" ht="12.75">
      <c r="B1709" s="55">
        <v>3</v>
      </c>
      <c r="C1709" s="58" t="s">
        <v>6</v>
      </c>
      <c r="D1709" s="54"/>
    </row>
    <row r="1710" spans="2:4" ht="12.75">
      <c r="B1710" s="55"/>
      <c r="C1710" s="54" t="s">
        <v>7</v>
      </c>
      <c r="D1710" s="59">
        <v>165285.75</v>
      </c>
    </row>
    <row r="1711" spans="2:4" ht="12.75">
      <c r="B1711" s="55"/>
      <c r="C1711" s="54" t="s">
        <v>8</v>
      </c>
      <c r="D1711" s="59">
        <v>172767.37</v>
      </c>
    </row>
    <row r="1712" spans="2:4" ht="12.75">
      <c r="B1712" s="55"/>
      <c r="C1712" s="54" t="s">
        <v>9</v>
      </c>
      <c r="D1712" s="59">
        <f>D1711-D1710</f>
        <v>7481.619999999995</v>
      </c>
    </row>
    <row r="1713" spans="2:4" ht="12.75">
      <c r="B1713" s="55">
        <v>4</v>
      </c>
      <c r="C1713" s="60" t="s">
        <v>10</v>
      </c>
      <c r="D1713" s="55" t="s">
        <v>11</v>
      </c>
    </row>
    <row r="1714" spans="2:4" ht="12.75">
      <c r="B1714" s="61" t="s">
        <v>14</v>
      </c>
      <c r="C1714" s="61"/>
      <c r="D1714" s="59">
        <v>22.31</v>
      </c>
    </row>
    <row r="1715" spans="2:4" ht="12.75" customHeight="1">
      <c r="B1715" s="62" t="s">
        <v>34</v>
      </c>
      <c r="C1715" s="62"/>
      <c r="D1715" s="55">
        <f>D1716+D1717+D1718</f>
        <v>112.61</v>
      </c>
    </row>
    <row r="1716" spans="2:4" ht="12.75">
      <c r="B1716" s="54"/>
      <c r="C1716" s="63" t="s">
        <v>35</v>
      </c>
      <c r="D1716" s="59">
        <v>31.47</v>
      </c>
    </row>
    <row r="1717" spans="2:4" ht="12.75">
      <c r="B1717" s="54"/>
      <c r="C1717" s="63" t="s">
        <v>36</v>
      </c>
      <c r="D1717" s="72">
        <v>81.14</v>
      </c>
    </row>
    <row r="1718" spans="2:4" ht="12.75">
      <c r="B1718" s="61" t="s">
        <v>37</v>
      </c>
      <c r="C1718" s="61"/>
      <c r="D1718" s="72">
        <v>0</v>
      </c>
    </row>
    <row r="1719" spans="2:4" ht="12.75" customHeight="1">
      <c r="B1719" s="65" t="s">
        <v>38</v>
      </c>
      <c r="C1719" s="65"/>
      <c r="D1719" s="66">
        <f>D1720+D1722+D1723+D1721</f>
        <v>84.67000000000002</v>
      </c>
    </row>
    <row r="1720" spans="2:4" ht="12.75">
      <c r="B1720" s="54"/>
      <c r="C1720" s="63" t="s">
        <v>15</v>
      </c>
      <c r="D1720" s="54">
        <f>50.29+10.16+4.42+6.51+0.4+0.8+0.21+4+0.67</f>
        <v>77.46000000000001</v>
      </c>
    </row>
    <row r="1721" spans="2:4" ht="12.75">
      <c r="B1721" s="54"/>
      <c r="C1721" s="63" t="s">
        <v>39</v>
      </c>
      <c r="D1721" s="59">
        <v>1.9</v>
      </c>
    </row>
    <row r="1722" spans="2:4" ht="12.75">
      <c r="B1722" s="54"/>
      <c r="C1722" s="67" t="s">
        <v>40</v>
      </c>
      <c r="D1722" s="59">
        <v>0</v>
      </c>
    </row>
    <row r="1723" spans="2:4" ht="12.75">
      <c r="B1723" s="54"/>
      <c r="C1723" s="63" t="s">
        <v>41</v>
      </c>
      <c r="D1723" s="59">
        <f>0.07+0.34+4.9</f>
        <v>5.3100000000000005</v>
      </c>
    </row>
    <row r="1724" spans="2:4" ht="12.75">
      <c r="B1724" s="61" t="s">
        <v>19</v>
      </c>
      <c r="C1724" s="61"/>
      <c r="D1724" s="66">
        <v>5.18</v>
      </c>
    </row>
    <row r="1725" spans="2:4" ht="12.75">
      <c r="B1725" s="68" t="s">
        <v>42</v>
      </c>
      <c r="C1725" s="68"/>
      <c r="D1725" s="66">
        <f>12.44+4.69+0.2</f>
        <v>17.33</v>
      </c>
    </row>
    <row r="1726" spans="2:4" ht="12.75">
      <c r="B1726" s="54"/>
      <c r="C1726" s="40" t="s">
        <v>21</v>
      </c>
      <c r="D1726" s="66">
        <f>D1714+D1715+D1719+D1724+D1725</f>
        <v>242.10000000000002</v>
      </c>
    </row>
    <row r="1727" spans="2:4" ht="12.75">
      <c r="B1727" s="55">
        <v>5</v>
      </c>
      <c r="C1727" s="60" t="s">
        <v>9</v>
      </c>
      <c r="D1727" s="66">
        <f>D1726-D1711/1000</f>
        <v>69.33263000000002</v>
      </c>
    </row>
    <row r="1728" spans="2:4" ht="12.75">
      <c r="B1728" s="69"/>
      <c r="C1728" s="69"/>
      <c r="D1728" s="69"/>
    </row>
    <row r="1729" spans="2:4" ht="12.75">
      <c r="B1729" s="70" t="s">
        <v>47</v>
      </c>
      <c r="C1729" s="70"/>
      <c r="D1729" s="70"/>
    </row>
    <row r="1731" spans="2:4" ht="12.75">
      <c r="B1731" s="53" t="s">
        <v>0</v>
      </c>
      <c r="C1731" s="53"/>
      <c r="D1731" s="53"/>
    </row>
    <row r="1732" spans="2:4" ht="12.75">
      <c r="B1732" s="53" t="s">
        <v>30</v>
      </c>
      <c r="C1732" s="53"/>
      <c r="D1732" s="53"/>
    </row>
    <row r="1733" spans="2:4" ht="12.75">
      <c r="B1733" s="53" t="s">
        <v>109</v>
      </c>
      <c r="C1733" s="53"/>
      <c r="D1733" s="53"/>
    </row>
    <row r="1734" spans="2:4" ht="12.75">
      <c r="B1734" s="54"/>
      <c r="C1734" s="54" t="s">
        <v>3</v>
      </c>
      <c r="D1734" s="55" t="s">
        <v>4</v>
      </c>
    </row>
    <row r="1735" spans="2:4" ht="12.75">
      <c r="B1735" s="55">
        <v>1</v>
      </c>
      <c r="C1735" s="56" t="s">
        <v>5</v>
      </c>
      <c r="D1735" s="54">
        <v>1344.43</v>
      </c>
    </row>
    <row r="1736" spans="2:4" ht="12.75">
      <c r="B1736" s="55">
        <v>2</v>
      </c>
      <c r="C1736" s="55" t="s">
        <v>32</v>
      </c>
      <c r="D1736" s="54"/>
    </row>
    <row r="1737" spans="2:4" ht="12.75">
      <c r="B1737" s="54"/>
      <c r="C1737" s="54" t="s">
        <v>7</v>
      </c>
      <c r="D1737" s="59"/>
    </row>
    <row r="1738" spans="2:4" ht="12.75">
      <c r="B1738" s="54"/>
      <c r="C1738" s="54" t="s">
        <v>33</v>
      </c>
      <c r="D1738" s="59">
        <v>152.58</v>
      </c>
    </row>
    <row r="1739" spans="2:4" ht="12.75">
      <c r="B1739" s="54"/>
      <c r="C1739" s="54" t="s">
        <v>9</v>
      </c>
      <c r="D1739" s="59">
        <f>D1738-D1737</f>
        <v>152.58</v>
      </c>
    </row>
    <row r="1740" spans="2:4" ht="12.75">
      <c r="B1740" s="55">
        <v>3</v>
      </c>
      <c r="C1740" s="58" t="s">
        <v>6</v>
      </c>
      <c r="D1740" s="54"/>
    </row>
    <row r="1741" spans="2:4" ht="12.75">
      <c r="B1741" s="55"/>
      <c r="C1741" s="54" t="s">
        <v>7</v>
      </c>
      <c r="D1741" s="59">
        <v>248125.08</v>
      </c>
    </row>
    <row r="1742" spans="2:4" ht="12.75">
      <c r="B1742" s="55"/>
      <c r="C1742" s="54" t="s">
        <v>8</v>
      </c>
      <c r="D1742" s="59">
        <v>247494.59</v>
      </c>
    </row>
    <row r="1743" spans="2:4" ht="12.75">
      <c r="B1743" s="55"/>
      <c r="C1743" s="54" t="s">
        <v>9</v>
      </c>
      <c r="D1743" s="59">
        <f>D1742-D1741</f>
        <v>-630.4899999999907</v>
      </c>
    </row>
    <row r="1744" spans="2:4" ht="12.75">
      <c r="B1744" s="55">
        <v>4</v>
      </c>
      <c r="C1744" s="60" t="s">
        <v>10</v>
      </c>
      <c r="D1744" s="55" t="s">
        <v>11</v>
      </c>
    </row>
    <row r="1745" spans="2:4" ht="12.75">
      <c r="B1745" s="61" t="s">
        <v>14</v>
      </c>
      <c r="C1745" s="61"/>
      <c r="D1745" s="59">
        <v>33.5</v>
      </c>
    </row>
    <row r="1746" spans="2:4" ht="12.75" customHeight="1">
      <c r="B1746" s="62" t="s">
        <v>34</v>
      </c>
      <c r="C1746" s="62"/>
      <c r="D1746" s="55">
        <f>D1747+D1748+D1749</f>
        <v>81.78</v>
      </c>
    </row>
    <row r="1747" spans="2:4" ht="12.75">
      <c r="B1747" s="54"/>
      <c r="C1747" s="63" t="s">
        <v>35</v>
      </c>
      <c r="D1747" s="59">
        <v>52.04</v>
      </c>
    </row>
    <row r="1748" spans="2:4" ht="12.75">
      <c r="B1748" s="54"/>
      <c r="C1748" s="63" t="s">
        <v>36</v>
      </c>
      <c r="D1748" s="72">
        <v>29.74</v>
      </c>
    </row>
    <row r="1749" spans="2:4" ht="12.75">
      <c r="B1749" s="61" t="s">
        <v>37</v>
      </c>
      <c r="C1749" s="61"/>
      <c r="D1749" s="72">
        <v>0</v>
      </c>
    </row>
    <row r="1750" spans="2:4" ht="12.75" customHeight="1">
      <c r="B1750" s="65" t="s">
        <v>38</v>
      </c>
      <c r="C1750" s="65"/>
      <c r="D1750" s="66">
        <f>D1751+D1753+D1754+D1752</f>
        <v>120.53000000000002</v>
      </c>
    </row>
    <row r="1751" spans="2:4" ht="12.75">
      <c r="B1751" s="54"/>
      <c r="C1751" s="63" t="s">
        <v>15</v>
      </c>
      <c r="D1751" s="54">
        <f>60.43+12.21+5.31+7.82+1.32+0.34+3.97+3.36+1.11</f>
        <v>95.87</v>
      </c>
    </row>
    <row r="1752" spans="2:4" ht="12.75">
      <c r="B1752" s="54"/>
      <c r="C1752" s="63" t="s">
        <v>39</v>
      </c>
      <c r="D1752" s="59">
        <v>4.67</v>
      </c>
    </row>
    <row r="1753" spans="2:4" ht="12.75">
      <c r="B1753" s="54"/>
      <c r="C1753" s="67" t="s">
        <v>40</v>
      </c>
      <c r="D1753" s="59">
        <v>0</v>
      </c>
    </row>
    <row r="1754" spans="2:4" ht="12.75">
      <c r="B1754" s="54"/>
      <c r="C1754" s="63" t="s">
        <v>41</v>
      </c>
      <c r="D1754" s="59">
        <f>0.12+0.57+19.3</f>
        <v>19.990000000000002</v>
      </c>
    </row>
    <row r="1755" spans="2:4" ht="12.75">
      <c r="B1755" s="61" t="s">
        <v>19</v>
      </c>
      <c r="C1755" s="61"/>
      <c r="D1755" s="66">
        <v>7.42</v>
      </c>
    </row>
    <row r="1756" spans="2:4" ht="12.75">
      <c r="B1756" s="68" t="s">
        <v>42</v>
      </c>
      <c r="C1756" s="68"/>
      <c r="D1756" s="66">
        <f>20.57+7.75+0.33</f>
        <v>28.65</v>
      </c>
    </row>
    <row r="1757" spans="2:4" ht="12.75">
      <c r="B1757" s="54"/>
      <c r="C1757" s="40" t="s">
        <v>21</v>
      </c>
      <c r="D1757" s="66">
        <f>D1745+D1746+D1750+D1755+D1756</f>
        <v>271.88</v>
      </c>
    </row>
    <row r="1758" spans="2:4" ht="12.75">
      <c r="B1758" s="55">
        <v>5</v>
      </c>
      <c r="C1758" s="60" t="s">
        <v>9</v>
      </c>
      <c r="D1758" s="66">
        <f>D1757-D1742/1000</f>
        <v>24.385410000000007</v>
      </c>
    </row>
    <row r="1759" spans="2:4" ht="12.75">
      <c r="B1759" s="69"/>
      <c r="C1759" s="69"/>
      <c r="D1759" s="69"/>
    </row>
    <row r="1760" spans="2:4" ht="12.75">
      <c r="B1760" s="70" t="s">
        <v>47</v>
      </c>
      <c r="C1760" s="70"/>
      <c r="D1760" s="70"/>
    </row>
    <row r="1762" spans="2:4" ht="12.75">
      <c r="B1762" s="53" t="s">
        <v>0</v>
      </c>
      <c r="C1762" s="53"/>
      <c r="D1762" s="53"/>
    </row>
    <row r="1763" spans="2:4" ht="12.75">
      <c r="B1763" s="53" t="s">
        <v>30</v>
      </c>
      <c r="C1763" s="53"/>
      <c r="D1763" s="53"/>
    </row>
    <row r="1764" spans="2:4" ht="12.75">
      <c r="B1764" s="53" t="s">
        <v>110</v>
      </c>
      <c r="C1764" s="53"/>
      <c r="D1764" s="53"/>
    </row>
    <row r="1765" spans="2:4" ht="12.75">
      <c r="B1765" s="54"/>
      <c r="C1765" s="54" t="s">
        <v>3</v>
      </c>
      <c r="D1765" s="55" t="s">
        <v>4</v>
      </c>
    </row>
    <row r="1766" spans="2:4" ht="12.75">
      <c r="B1766" s="55">
        <v>1</v>
      </c>
      <c r="C1766" s="56" t="s">
        <v>5</v>
      </c>
      <c r="D1766" s="54">
        <v>2193.8</v>
      </c>
    </row>
    <row r="1767" spans="2:4" ht="12.75">
      <c r="B1767" s="55">
        <v>2</v>
      </c>
      <c r="C1767" s="55" t="s">
        <v>32</v>
      </c>
      <c r="D1767" s="54"/>
    </row>
    <row r="1768" spans="2:4" ht="12.75">
      <c r="B1768" s="54"/>
      <c r="C1768" s="54" t="s">
        <v>7</v>
      </c>
      <c r="D1768" s="59"/>
    </row>
    <row r="1769" spans="2:4" ht="12.75">
      <c r="B1769" s="54"/>
      <c r="C1769" s="54" t="s">
        <v>33</v>
      </c>
      <c r="D1769" s="59">
        <v>4545.1</v>
      </c>
    </row>
    <row r="1770" spans="2:4" ht="12.75">
      <c r="B1770" s="54"/>
      <c r="C1770" s="54" t="s">
        <v>9</v>
      </c>
      <c r="D1770" s="59">
        <f>D1769-D1768</f>
        <v>4545.1</v>
      </c>
    </row>
    <row r="1771" spans="2:4" ht="12.75">
      <c r="B1771" s="55">
        <v>3</v>
      </c>
      <c r="C1771" s="58" t="s">
        <v>6</v>
      </c>
      <c r="D1771" s="54"/>
    </row>
    <row r="1772" spans="2:4" ht="12.75">
      <c r="B1772" s="55"/>
      <c r="C1772" s="54" t="s">
        <v>7</v>
      </c>
      <c r="D1772" s="59">
        <v>398892.18</v>
      </c>
    </row>
    <row r="1773" spans="2:4" ht="12.75">
      <c r="B1773" s="55"/>
      <c r="C1773" s="54" t="s">
        <v>8</v>
      </c>
      <c r="D1773" s="59">
        <v>396592.23</v>
      </c>
    </row>
    <row r="1774" spans="2:4" ht="12.75">
      <c r="B1774" s="55"/>
      <c r="C1774" s="54" t="s">
        <v>9</v>
      </c>
      <c r="D1774" s="59">
        <f>D1773-D1772</f>
        <v>-2299.9500000000116</v>
      </c>
    </row>
    <row r="1775" spans="2:4" ht="12.75">
      <c r="B1775" s="55">
        <v>4</v>
      </c>
      <c r="C1775" s="60" t="s">
        <v>10</v>
      </c>
      <c r="D1775" s="55" t="s">
        <v>11</v>
      </c>
    </row>
    <row r="1776" spans="2:4" ht="12.75">
      <c r="B1776" s="61" t="s">
        <v>14</v>
      </c>
      <c r="C1776" s="61"/>
      <c r="D1776" s="59">
        <v>53.85</v>
      </c>
    </row>
    <row r="1777" spans="2:4" ht="12.75" customHeight="1">
      <c r="B1777" s="62" t="s">
        <v>34</v>
      </c>
      <c r="C1777" s="62"/>
      <c r="D1777" s="55">
        <f>D1778+D1779+D1780</f>
        <v>131.58</v>
      </c>
    </row>
    <row r="1778" spans="2:4" ht="12.75">
      <c r="B1778" s="54"/>
      <c r="C1778" s="63" t="s">
        <v>35</v>
      </c>
      <c r="D1778" s="59">
        <v>84.92</v>
      </c>
    </row>
    <row r="1779" spans="2:4" ht="12.75">
      <c r="B1779" s="54"/>
      <c r="C1779" s="63" t="s">
        <v>36</v>
      </c>
      <c r="D1779" s="72">
        <v>37.06</v>
      </c>
    </row>
    <row r="1780" spans="2:4" ht="12.75">
      <c r="B1780" s="61" t="s">
        <v>37</v>
      </c>
      <c r="C1780" s="61"/>
      <c r="D1780" s="72">
        <v>9.6</v>
      </c>
    </row>
    <row r="1781" spans="2:4" ht="12.75" customHeight="1">
      <c r="B1781" s="65" t="s">
        <v>38</v>
      </c>
      <c r="C1781" s="65"/>
      <c r="D1781" s="66">
        <f>D1782+D1784+D1785+D1783</f>
        <v>128.86999999999998</v>
      </c>
    </row>
    <row r="1782" spans="2:4" ht="12.75">
      <c r="B1782" s="54"/>
      <c r="C1782" s="63" t="s">
        <v>15</v>
      </c>
      <c r="D1782" s="54">
        <f>78.83+15.92+6.92+10.2+0.27+2.16+0.56+4.43+1.8</f>
        <v>121.08999999999999</v>
      </c>
    </row>
    <row r="1783" spans="2:4" ht="12.75">
      <c r="B1783" s="54"/>
      <c r="C1783" s="63" t="s">
        <v>39</v>
      </c>
      <c r="D1783" s="59">
        <v>6.65</v>
      </c>
    </row>
    <row r="1784" spans="2:4" ht="12.75">
      <c r="B1784" s="54"/>
      <c r="C1784" s="67" t="s">
        <v>40</v>
      </c>
      <c r="D1784" s="59">
        <v>0</v>
      </c>
    </row>
    <row r="1785" spans="2:4" ht="12.75">
      <c r="B1785" s="54"/>
      <c r="C1785" s="63" t="s">
        <v>41</v>
      </c>
      <c r="D1785" s="59">
        <f>0.2+0.93</f>
        <v>1.1300000000000001</v>
      </c>
    </row>
    <row r="1786" spans="2:4" ht="12.75">
      <c r="B1786" s="61" t="s">
        <v>19</v>
      </c>
      <c r="C1786" s="61"/>
      <c r="D1786" s="66">
        <v>11.9</v>
      </c>
    </row>
    <row r="1787" spans="2:4" ht="12.75">
      <c r="B1787" s="68" t="s">
        <v>42</v>
      </c>
      <c r="C1787" s="68"/>
      <c r="D1787" s="66">
        <f>33.57+12.65+0.55</f>
        <v>46.769999999999996</v>
      </c>
    </row>
    <row r="1788" spans="2:4" ht="12.75">
      <c r="B1788" s="54"/>
      <c r="C1788" s="40" t="s">
        <v>21</v>
      </c>
      <c r="D1788" s="66">
        <f>D1776+D1777+D1781+D1786+D1787</f>
        <v>372.9699999999999</v>
      </c>
    </row>
    <row r="1789" spans="2:4" ht="12.75">
      <c r="B1789" s="55">
        <v>5</v>
      </c>
      <c r="C1789" s="60" t="s">
        <v>9</v>
      </c>
      <c r="D1789" s="66">
        <f>D1788-D1773/1000</f>
        <v>-23.62223000000006</v>
      </c>
    </row>
    <row r="1790" spans="2:4" ht="12.75">
      <c r="B1790" s="69"/>
      <c r="C1790" s="69"/>
      <c r="D1790" s="69"/>
    </row>
    <row r="1791" spans="2:4" ht="12.75">
      <c r="B1791" s="70" t="s">
        <v>47</v>
      </c>
      <c r="C1791" s="70"/>
      <c r="D1791" s="70"/>
    </row>
    <row r="1793" spans="2:4" ht="12.75">
      <c r="B1793" s="53" t="s">
        <v>0</v>
      </c>
      <c r="C1793" s="53"/>
      <c r="D1793" s="53"/>
    </row>
    <row r="1794" spans="2:4" ht="12.75">
      <c r="B1794" s="53" t="s">
        <v>30</v>
      </c>
      <c r="C1794" s="53"/>
      <c r="D1794" s="53"/>
    </row>
    <row r="1795" spans="2:4" ht="12.75">
      <c r="B1795" s="53" t="s">
        <v>111</v>
      </c>
      <c r="C1795" s="53"/>
      <c r="D1795" s="53"/>
    </row>
    <row r="1796" spans="2:4" ht="12.75">
      <c r="B1796" s="54"/>
      <c r="C1796" s="54" t="s">
        <v>3</v>
      </c>
      <c r="D1796" s="55" t="s">
        <v>4</v>
      </c>
    </row>
    <row r="1797" spans="2:4" ht="12.75">
      <c r="B1797" s="55">
        <v>1</v>
      </c>
      <c r="C1797" s="56" t="s">
        <v>5</v>
      </c>
      <c r="D1797" s="54">
        <v>1039.13</v>
      </c>
    </row>
    <row r="1798" spans="2:4" ht="12.75">
      <c r="B1798" s="55">
        <v>2</v>
      </c>
      <c r="C1798" s="55" t="s">
        <v>32</v>
      </c>
      <c r="D1798" s="54"/>
    </row>
    <row r="1799" spans="2:4" ht="12.75">
      <c r="B1799" s="54"/>
      <c r="C1799" s="54" t="s">
        <v>7</v>
      </c>
      <c r="D1799" s="59">
        <v>12341.5</v>
      </c>
    </row>
    <row r="1800" spans="2:4" ht="12.75">
      <c r="B1800" s="54"/>
      <c r="C1800" s="54" t="s">
        <v>33</v>
      </c>
      <c r="D1800" s="59">
        <v>24151.01</v>
      </c>
    </row>
    <row r="1801" spans="2:4" ht="12.75">
      <c r="B1801" s="54"/>
      <c r="C1801" s="54" t="s">
        <v>9</v>
      </c>
      <c r="D1801" s="59">
        <f>D1800-D1799</f>
        <v>11809.509999999998</v>
      </c>
    </row>
    <row r="1802" spans="2:4" ht="12.75">
      <c r="B1802" s="55">
        <v>3</v>
      </c>
      <c r="C1802" s="58" t="s">
        <v>6</v>
      </c>
      <c r="D1802" s="54"/>
    </row>
    <row r="1803" spans="2:4" ht="12.75">
      <c r="B1803" s="55"/>
      <c r="C1803" s="54" t="s">
        <v>7</v>
      </c>
      <c r="D1803" s="59">
        <v>42240.96</v>
      </c>
    </row>
    <row r="1804" spans="2:4" ht="12.75">
      <c r="B1804" s="55"/>
      <c r="C1804" s="54" t="s">
        <v>8</v>
      </c>
      <c r="D1804" s="59">
        <v>100056.49</v>
      </c>
    </row>
    <row r="1805" spans="2:4" ht="12.75">
      <c r="B1805" s="55"/>
      <c r="C1805" s="54" t="s">
        <v>9</v>
      </c>
      <c r="D1805" s="59">
        <f>D1804-D1803</f>
        <v>57815.530000000006</v>
      </c>
    </row>
    <row r="1806" spans="2:4" ht="12.75">
      <c r="B1806" s="55">
        <v>4</v>
      </c>
      <c r="C1806" s="60" t="s">
        <v>10</v>
      </c>
      <c r="D1806" s="55" t="s">
        <v>11</v>
      </c>
    </row>
    <row r="1807" spans="2:4" ht="12.75">
      <c r="B1807" s="61" t="s">
        <v>14</v>
      </c>
      <c r="C1807" s="61"/>
      <c r="D1807" s="59">
        <v>5.7</v>
      </c>
    </row>
    <row r="1808" spans="2:4" ht="12.75" customHeight="1">
      <c r="B1808" s="62" t="s">
        <v>34</v>
      </c>
      <c r="C1808" s="62"/>
      <c r="D1808" s="55">
        <f>D1809+D1810+D1811</f>
        <v>24.93</v>
      </c>
    </row>
    <row r="1809" spans="2:4" ht="12.75">
      <c r="B1809" s="54"/>
      <c r="C1809" s="63" t="s">
        <v>35</v>
      </c>
      <c r="D1809" s="59">
        <v>10</v>
      </c>
    </row>
    <row r="1810" spans="2:4" ht="12.75">
      <c r="B1810" s="54"/>
      <c r="C1810" s="63" t="s">
        <v>36</v>
      </c>
      <c r="D1810" s="72">
        <v>7.13</v>
      </c>
    </row>
    <row r="1811" spans="2:4" ht="12.75">
      <c r="B1811" s="61" t="s">
        <v>37</v>
      </c>
      <c r="C1811" s="61"/>
      <c r="D1811" s="72">
        <v>7.8</v>
      </c>
    </row>
    <row r="1812" spans="2:4" ht="12.75" customHeight="1">
      <c r="B1812" s="65" t="s">
        <v>38</v>
      </c>
      <c r="C1812" s="65"/>
      <c r="D1812" s="66">
        <f>D1813+D1815+D1816+D1814</f>
        <v>0.77</v>
      </c>
    </row>
    <row r="1813" spans="2:4" ht="12.75">
      <c r="B1813" s="54"/>
      <c r="C1813" s="63" t="s">
        <v>15</v>
      </c>
      <c r="D1813" s="54">
        <f>0.51+0.13+0.13</f>
        <v>0.77</v>
      </c>
    </row>
    <row r="1814" spans="2:4" ht="12.75">
      <c r="B1814" s="54"/>
      <c r="C1814" s="63" t="s">
        <v>39</v>
      </c>
      <c r="D1814" s="59">
        <v>0</v>
      </c>
    </row>
    <row r="1815" spans="2:4" ht="12.75">
      <c r="B1815" s="54"/>
      <c r="C1815" s="67" t="s">
        <v>40</v>
      </c>
      <c r="D1815" s="59">
        <v>0</v>
      </c>
    </row>
    <row r="1816" spans="2:4" ht="12.75">
      <c r="B1816" s="54"/>
      <c r="C1816" s="63" t="s">
        <v>41</v>
      </c>
      <c r="D1816" s="59"/>
    </row>
    <row r="1817" spans="2:4" ht="12.75">
      <c r="B1817" s="61" t="s">
        <v>19</v>
      </c>
      <c r="C1817" s="61"/>
      <c r="D1817" s="66">
        <v>3.01</v>
      </c>
    </row>
    <row r="1818" spans="2:4" ht="12.75">
      <c r="B1818" s="68" t="s">
        <v>42</v>
      </c>
      <c r="C1818" s="68"/>
      <c r="D1818" s="66">
        <f>3.97</f>
        <v>3.9699999999999998</v>
      </c>
    </row>
    <row r="1819" spans="2:4" ht="12.75">
      <c r="B1819" s="54"/>
      <c r="C1819" s="40" t="s">
        <v>21</v>
      </c>
      <c r="D1819" s="66">
        <f>D1807+D1808+D1812+D1817+D1818</f>
        <v>38.379999999999995</v>
      </c>
    </row>
    <row r="1820" spans="2:4" ht="12.75">
      <c r="B1820" s="55">
        <v>5</v>
      </c>
      <c r="C1820" s="60" t="s">
        <v>9</v>
      </c>
      <c r="D1820" s="66">
        <f>D1819-D1804/1000</f>
        <v>-61.676490000000015</v>
      </c>
    </row>
    <row r="1821" spans="2:4" ht="12.75">
      <c r="B1821" s="69"/>
      <c r="C1821" s="69"/>
      <c r="D1821" s="69"/>
    </row>
    <row r="1822" spans="2:4" ht="12.75">
      <c r="B1822" s="70" t="s">
        <v>47</v>
      </c>
      <c r="C1822" s="70"/>
      <c r="D1822" s="70"/>
    </row>
    <row r="1824" spans="2:4" ht="12.75">
      <c r="B1824" s="53" t="s">
        <v>0</v>
      </c>
      <c r="C1824" s="53"/>
      <c r="D1824" s="53"/>
    </row>
    <row r="1825" spans="2:4" ht="12.75">
      <c r="B1825" s="53" t="s">
        <v>30</v>
      </c>
      <c r="C1825" s="53"/>
      <c r="D1825" s="53"/>
    </row>
    <row r="1826" spans="2:4" ht="12.75">
      <c r="B1826" s="53" t="s">
        <v>112</v>
      </c>
      <c r="C1826" s="53"/>
      <c r="D1826" s="53"/>
    </row>
    <row r="1827" spans="2:4" ht="12.75">
      <c r="B1827" s="54"/>
      <c r="C1827" s="54" t="s">
        <v>3</v>
      </c>
      <c r="D1827" s="55" t="s">
        <v>4</v>
      </c>
    </row>
    <row r="1828" spans="2:4" ht="12.75">
      <c r="B1828" s="55">
        <v>1</v>
      </c>
      <c r="C1828" s="56" t="s">
        <v>5</v>
      </c>
      <c r="D1828" s="54">
        <v>2021.5</v>
      </c>
    </row>
    <row r="1829" spans="2:4" ht="12.75">
      <c r="B1829" s="55">
        <v>2</v>
      </c>
      <c r="C1829" s="55" t="s">
        <v>32</v>
      </c>
      <c r="D1829" s="54"/>
    </row>
    <row r="1830" spans="2:4" ht="12.75">
      <c r="B1830" s="54"/>
      <c r="C1830" s="54" t="s">
        <v>7</v>
      </c>
      <c r="D1830" s="59">
        <v>67139.84</v>
      </c>
    </row>
    <row r="1831" spans="2:4" ht="12.75">
      <c r="B1831" s="54"/>
      <c r="C1831" s="54" t="s">
        <v>33</v>
      </c>
      <c r="D1831" s="59">
        <v>62045.52</v>
      </c>
    </row>
    <row r="1832" spans="2:4" ht="12.75">
      <c r="B1832" s="54"/>
      <c r="C1832" s="54" t="s">
        <v>9</v>
      </c>
      <c r="D1832" s="59">
        <f>D1831-D1830</f>
        <v>-5094.32</v>
      </c>
    </row>
    <row r="1833" spans="2:4" ht="12.75">
      <c r="B1833" s="55">
        <v>3</v>
      </c>
      <c r="C1833" s="58" t="s">
        <v>6</v>
      </c>
      <c r="D1833" s="54"/>
    </row>
    <row r="1834" spans="2:4" ht="12.75">
      <c r="B1834" s="55"/>
      <c r="C1834" s="54" t="s">
        <v>7</v>
      </c>
      <c r="D1834" s="59">
        <v>370535.82</v>
      </c>
    </row>
    <row r="1835" spans="2:4" ht="12.75">
      <c r="B1835" s="55"/>
      <c r="C1835" s="54" t="s">
        <v>8</v>
      </c>
      <c r="D1835" s="59">
        <v>365828.01</v>
      </c>
    </row>
    <row r="1836" spans="2:4" ht="12.75">
      <c r="B1836" s="55"/>
      <c r="C1836" s="54" t="s">
        <v>9</v>
      </c>
      <c r="D1836" s="59">
        <f>D1835-D1834</f>
        <v>-4707.809999999998</v>
      </c>
    </row>
    <row r="1837" spans="2:4" ht="12.75">
      <c r="B1837" s="55">
        <v>4</v>
      </c>
      <c r="C1837" s="60" t="s">
        <v>10</v>
      </c>
      <c r="D1837" s="55" t="s">
        <v>11</v>
      </c>
    </row>
    <row r="1838" spans="2:4" ht="12.75">
      <c r="B1838" s="61" t="s">
        <v>14</v>
      </c>
      <c r="C1838" s="61"/>
      <c r="D1838" s="59">
        <v>50</v>
      </c>
    </row>
    <row r="1839" spans="2:4" ht="12.75" customHeight="1">
      <c r="B1839" s="62" t="s">
        <v>34</v>
      </c>
      <c r="C1839" s="62"/>
      <c r="D1839" s="55">
        <f>D1840+D1841+D1842</f>
        <v>126.37</v>
      </c>
    </row>
    <row r="1840" spans="2:4" ht="12.75">
      <c r="B1840" s="54"/>
      <c r="C1840" s="63" t="s">
        <v>35</v>
      </c>
      <c r="D1840" s="59">
        <v>78.25</v>
      </c>
    </row>
    <row r="1841" spans="2:4" ht="12.75">
      <c r="B1841" s="54"/>
      <c r="C1841" s="63" t="s">
        <v>36</v>
      </c>
      <c r="D1841" s="72">
        <v>48.12</v>
      </c>
    </row>
    <row r="1842" spans="2:4" ht="12.75">
      <c r="B1842" s="61" t="s">
        <v>37</v>
      </c>
      <c r="C1842" s="61"/>
      <c r="D1842" s="72">
        <v>0</v>
      </c>
    </row>
    <row r="1843" spans="2:4" ht="12.75" customHeight="1">
      <c r="B1843" s="65" t="s">
        <v>38</v>
      </c>
      <c r="C1843" s="65"/>
      <c r="D1843" s="66">
        <f>D1844+D1846+D1847+D1845</f>
        <v>128.48</v>
      </c>
    </row>
    <row r="1844" spans="2:4" ht="12.75">
      <c r="B1844" s="54"/>
      <c r="C1844" s="63" t="s">
        <v>15</v>
      </c>
      <c r="D1844" s="54">
        <f>73.3+14.81+6.44+9.5+0.4+1.99+0.51+10.1+1.66</f>
        <v>118.71</v>
      </c>
    </row>
    <row r="1845" spans="2:4" ht="12.75">
      <c r="B1845" s="54"/>
      <c r="C1845" s="63" t="s">
        <v>39</v>
      </c>
      <c r="D1845" s="59">
        <v>7</v>
      </c>
    </row>
    <row r="1846" spans="2:4" ht="12.75">
      <c r="B1846" s="54"/>
      <c r="C1846" s="67" t="s">
        <v>40</v>
      </c>
      <c r="D1846" s="59">
        <v>1.16</v>
      </c>
    </row>
    <row r="1847" spans="2:4" ht="12.75">
      <c r="B1847" s="54"/>
      <c r="C1847" s="63" t="s">
        <v>41</v>
      </c>
      <c r="D1847" s="59">
        <f>0.19+0.85+0.57</f>
        <v>1.61</v>
      </c>
    </row>
    <row r="1848" spans="2:4" ht="12.75">
      <c r="B1848" s="61" t="s">
        <v>19</v>
      </c>
      <c r="C1848" s="61"/>
      <c r="D1848" s="66">
        <v>10.97</v>
      </c>
    </row>
    <row r="1849" spans="2:4" ht="12.75">
      <c r="B1849" s="68" t="s">
        <v>42</v>
      </c>
      <c r="C1849" s="68"/>
      <c r="D1849" s="66">
        <f>30.93+11.66+0.51</f>
        <v>43.1</v>
      </c>
    </row>
    <row r="1850" spans="2:4" ht="12.75">
      <c r="B1850" s="54"/>
      <c r="C1850" s="40" t="s">
        <v>21</v>
      </c>
      <c r="D1850" s="66">
        <f>D1838+D1839+D1843+D1848+D1849</f>
        <v>358.9200000000001</v>
      </c>
    </row>
    <row r="1851" spans="2:4" ht="12.75">
      <c r="B1851" s="55">
        <v>5</v>
      </c>
      <c r="C1851" s="60" t="s">
        <v>9</v>
      </c>
      <c r="D1851" s="66">
        <f>D1850-D1835/1000</f>
        <v>-6.908009999999933</v>
      </c>
    </row>
    <row r="1852" spans="2:4" ht="12.75">
      <c r="B1852" s="69"/>
      <c r="C1852" s="69"/>
      <c r="D1852" s="69"/>
    </row>
    <row r="1853" spans="2:4" ht="12.75">
      <c r="B1853" s="70" t="s">
        <v>47</v>
      </c>
      <c r="C1853" s="70"/>
      <c r="D1853" s="70"/>
    </row>
    <row r="1855" spans="2:4" ht="12.75">
      <c r="B1855" s="53" t="s">
        <v>0</v>
      </c>
      <c r="C1855" s="53"/>
      <c r="D1855" s="53"/>
    </row>
    <row r="1856" spans="2:4" ht="12.75">
      <c r="B1856" s="53" t="s">
        <v>30</v>
      </c>
      <c r="C1856" s="53"/>
      <c r="D1856" s="53"/>
    </row>
    <row r="1857" spans="2:4" ht="12.75">
      <c r="B1857" s="53" t="s">
        <v>113</v>
      </c>
      <c r="C1857" s="53"/>
      <c r="D1857" s="53"/>
    </row>
    <row r="1858" spans="2:4" ht="12.75">
      <c r="B1858" s="54"/>
      <c r="C1858" s="54" t="s">
        <v>3</v>
      </c>
      <c r="D1858" s="55" t="s">
        <v>4</v>
      </c>
    </row>
    <row r="1859" spans="2:4" ht="12.75">
      <c r="B1859" s="55">
        <v>1</v>
      </c>
      <c r="C1859" s="56" t="s">
        <v>5</v>
      </c>
      <c r="D1859" s="54">
        <v>2020.3</v>
      </c>
    </row>
    <row r="1860" spans="2:4" ht="12.75">
      <c r="B1860" s="55">
        <v>2</v>
      </c>
      <c r="C1860" s="58" t="s">
        <v>53</v>
      </c>
      <c r="D1860" s="54"/>
    </row>
    <row r="1861" spans="2:4" ht="12.75">
      <c r="B1861" s="55"/>
      <c r="C1861" s="54" t="s">
        <v>7</v>
      </c>
      <c r="D1861" s="59">
        <v>406336.54</v>
      </c>
    </row>
    <row r="1862" spans="2:4" ht="12.75">
      <c r="B1862" s="55"/>
      <c r="C1862" s="54" t="s">
        <v>8</v>
      </c>
      <c r="D1862" s="59">
        <v>361324.77</v>
      </c>
    </row>
    <row r="1863" spans="2:4" ht="12.75">
      <c r="B1863" s="55"/>
      <c r="C1863" s="54" t="s">
        <v>9</v>
      </c>
      <c r="D1863" s="59">
        <f>D1862-D1861</f>
        <v>-45011.76999999996</v>
      </c>
    </row>
    <row r="1864" spans="2:4" ht="12.75">
      <c r="B1864" s="55">
        <v>3</v>
      </c>
      <c r="C1864" s="60" t="s">
        <v>10</v>
      </c>
      <c r="D1864" s="55" t="s">
        <v>11</v>
      </c>
    </row>
    <row r="1865" spans="2:4" ht="12.75">
      <c r="B1865" s="61" t="s">
        <v>14</v>
      </c>
      <c r="C1865" s="61"/>
      <c r="D1865" s="59">
        <v>54.86</v>
      </c>
    </row>
    <row r="1866" spans="2:4" ht="12.75" customHeight="1">
      <c r="B1866" s="62" t="s">
        <v>34</v>
      </c>
      <c r="C1866" s="62"/>
      <c r="D1866" s="55">
        <f>D1867+D1868+D1869</f>
        <v>179.9</v>
      </c>
    </row>
    <row r="1867" spans="2:4" ht="12.75">
      <c r="B1867" s="54"/>
      <c r="C1867" s="63" t="s">
        <v>35</v>
      </c>
      <c r="D1867" s="59">
        <v>78.2</v>
      </c>
    </row>
    <row r="1868" spans="2:4" ht="12.75">
      <c r="B1868" s="54"/>
      <c r="C1868" s="63" t="s">
        <v>36</v>
      </c>
      <c r="D1868" s="72">
        <v>98.1</v>
      </c>
    </row>
    <row r="1869" spans="2:4" ht="12.75">
      <c r="B1869" s="61" t="s">
        <v>37</v>
      </c>
      <c r="C1869" s="61"/>
      <c r="D1869" s="72">
        <v>3.6</v>
      </c>
    </row>
    <row r="1870" spans="2:4" ht="12.75" customHeight="1">
      <c r="B1870" s="65" t="s">
        <v>38</v>
      </c>
      <c r="C1870" s="65"/>
      <c r="D1870" s="66">
        <f>D1871+D1873+D1874+D1872</f>
        <v>133.53</v>
      </c>
    </row>
    <row r="1871" spans="2:4" ht="12.75">
      <c r="B1871" s="54"/>
      <c r="C1871" s="63" t="s">
        <v>15</v>
      </c>
      <c r="D1871" s="54">
        <f>73.57+14.86+6.46+9.52+1.99+1.2+0.51+9.11+5.29</f>
        <v>122.50999999999999</v>
      </c>
    </row>
    <row r="1872" spans="2:4" ht="12.75">
      <c r="B1872" s="54"/>
      <c r="C1872" s="63" t="s">
        <v>39</v>
      </c>
      <c r="D1872" s="59">
        <v>5.74</v>
      </c>
    </row>
    <row r="1873" spans="2:4" ht="12.75">
      <c r="B1873" s="54"/>
      <c r="C1873" s="67" t="s">
        <v>40</v>
      </c>
      <c r="D1873" s="59">
        <v>0.4</v>
      </c>
    </row>
    <row r="1874" spans="2:4" ht="12.75">
      <c r="B1874" s="54"/>
      <c r="C1874" s="63" t="s">
        <v>41</v>
      </c>
      <c r="D1874" s="59">
        <f>0.19+0.85+3.84</f>
        <v>4.88</v>
      </c>
    </row>
    <row r="1875" spans="2:4" ht="12.75">
      <c r="B1875" s="61" t="s">
        <v>19</v>
      </c>
      <c r="C1875" s="61"/>
      <c r="D1875" s="66">
        <v>10.84</v>
      </c>
    </row>
    <row r="1876" spans="2:4" ht="12.75">
      <c r="B1876" s="68" t="s">
        <v>42</v>
      </c>
      <c r="C1876" s="68"/>
      <c r="D1876" s="66">
        <f>30.91+11.65+0.51</f>
        <v>43.07</v>
      </c>
    </row>
    <row r="1877" spans="2:4" ht="12.75">
      <c r="B1877" s="68" t="s">
        <v>54</v>
      </c>
      <c r="C1877" s="68"/>
      <c r="D1877" s="66">
        <v>26.9</v>
      </c>
    </row>
    <row r="1878" spans="2:4" ht="12.75">
      <c r="B1878" s="54"/>
      <c r="C1878" s="40" t="s">
        <v>21</v>
      </c>
      <c r="D1878" s="66">
        <f>D1865+D1866+D1870+D1875+D1876+D1877</f>
        <v>449.0999999999999</v>
      </c>
    </row>
    <row r="1879" spans="2:4" ht="12.75">
      <c r="B1879" s="55">
        <v>4</v>
      </c>
      <c r="C1879" s="60" t="s">
        <v>9</v>
      </c>
      <c r="D1879" s="66">
        <f>D1878-D1862/1000</f>
        <v>87.77522999999991</v>
      </c>
    </row>
    <row r="1880" spans="2:4" ht="12.75">
      <c r="B1880" s="69"/>
      <c r="C1880" s="69"/>
      <c r="D1880" s="69"/>
    </row>
    <row r="1881" spans="2:4" ht="12.75">
      <c r="B1881" s="70" t="s">
        <v>47</v>
      </c>
      <c r="C1881" s="70"/>
      <c r="D1881" s="70"/>
    </row>
    <row r="1883" spans="2:4" ht="12.75">
      <c r="B1883" s="53" t="s">
        <v>0</v>
      </c>
      <c r="C1883" s="53"/>
      <c r="D1883" s="53"/>
    </row>
    <row r="1884" spans="2:4" ht="12.75">
      <c r="B1884" s="53" t="s">
        <v>30</v>
      </c>
      <c r="C1884" s="53"/>
      <c r="D1884" s="53"/>
    </row>
    <row r="1885" spans="2:4" ht="12.75">
      <c r="B1885" s="53" t="s">
        <v>114</v>
      </c>
      <c r="C1885" s="53"/>
      <c r="D1885" s="53"/>
    </row>
    <row r="1886" spans="2:4" ht="12.75">
      <c r="B1886" s="54"/>
      <c r="C1886" s="54" t="s">
        <v>3</v>
      </c>
      <c r="D1886" s="55" t="s">
        <v>4</v>
      </c>
    </row>
    <row r="1887" spans="2:4" ht="12.75">
      <c r="B1887" s="55">
        <v>1</v>
      </c>
      <c r="C1887" s="56" t="s">
        <v>5</v>
      </c>
      <c r="D1887" s="54">
        <v>3150.28</v>
      </c>
    </row>
    <row r="1888" spans="2:4" ht="12.75">
      <c r="B1888" s="55">
        <v>2</v>
      </c>
      <c r="C1888" s="58" t="s">
        <v>53</v>
      </c>
      <c r="D1888" s="54"/>
    </row>
    <row r="1889" spans="2:4" ht="12.75">
      <c r="B1889" s="55"/>
      <c r="C1889" s="54" t="s">
        <v>7</v>
      </c>
      <c r="D1889" s="59">
        <v>601354.18</v>
      </c>
    </row>
    <row r="1890" spans="2:4" ht="12.75">
      <c r="B1890" s="55"/>
      <c r="C1890" s="54" t="s">
        <v>8</v>
      </c>
      <c r="D1890" s="59">
        <v>579430.16</v>
      </c>
    </row>
    <row r="1891" spans="2:4" ht="12.75">
      <c r="B1891" s="55"/>
      <c r="C1891" s="54" t="s">
        <v>9</v>
      </c>
      <c r="D1891" s="59">
        <f>D1890-D1889</f>
        <v>-21924.02000000002</v>
      </c>
    </row>
    <row r="1892" spans="2:4" ht="12.75">
      <c r="B1892" s="55">
        <v>3</v>
      </c>
      <c r="C1892" s="60" t="s">
        <v>10</v>
      </c>
      <c r="D1892" s="55" t="s">
        <v>11</v>
      </c>
    </row>
    <row r="1893" spans="2:4" ht="12.75">
      <c r="B1893" s="61" t="s">
        <v>14</v>
      </c>
      <c r="C1893" s="61"/>
      <c r="D1893" s="59">
        <v>81.18</v>
      </c>
    </row>
    <row r="1894" spans="2:4" ht="12.75" customHeight="1">
      <c r="B1894" s="62" t="s">
        <v>34</v>
      </c>
      <c r="C1894" s="62"/>
      <c r="D1894" s="55">
        <f>D1895+D1896+D1897</f>
        <v>184.3</v>
      </c>
    </row>
    <row r="1895" spans="2:4" ht="12.75">
      <c r="B1895" s="54"/>
      <c r="C1895" s="63" t="s">
        <v>35</v>
      </c>
      <c r="D1895" s="59">
        <v>121.94</v>
      </c>
    </row>
    <row r="1896" spans="2:4" ht="12.75">
      <c r="B1896" s="54"/>
      <c r="C1896" s="63" t="s">
        <v>36</v>
      </c>
      <c r="D1896" s="72">
        <v>59.36</v>
      </c>
    </row>
    <row r="1897" spans="2:4" ht="12.75">
      <c r="B1897" s="61" t="s">
        <v>37</v>
      </c>
      <c r="C1897" s="61"/>
      <c r="D1897" s="72">
        <v>3</v>
      </c>
    </row>
    <row r="1898" spans="2:4" ht="12.75" customHeight="1">
      <c r="B1898" s="65" t="s">
        <v>38</v>
      </c>
      <c r="C1898" s="65"/>
      <c r="D1898" s="66">
        <f>D1899+D1901+D1902+D1900</f>
        <v>153.5</v>
      </c>
    </row>
    <row r="1899" spans="2:4" ht="12.75">
      <c r="B1899" s="54"/>
      <c r="C1899" s="63" t="s">
        <v>15</v>
      </c>
      <c r="D1899" s="54">
        <f>88.57+17.89+7.8+11.47+1.55+3.1+0.8+1.1+6.2</f>
        <v>138.48</v>
      </c>
    </row>
    <row r="1900" spans="2:4" ht="12.75">
      <c r="B1900" s="54"/>
      <c r="C1900" s="63" t="s">
        <v>39</v>
      </c>
      <c r="D1900" s="59">
        <v>9.15</v>
      </c>
    </row>
    <row r="1901" spans="2:4" ht="12.75">
      <c r="B1901" s="54"/>
      <c r="C1901" s="67" t="s">
        <v>40</v>
      </c>
      <c r="D1901" s="59">
        <v>0</v>
      </c>
    </row>
    <row r="1902" spans="2:4" ht="12.75">
      <c r="B1902" s="54"/>
      <c r="C1902" s="63" t="s">
        <v>41</v>
      </c>
      <c r="D1902" s="59">
        <f>0.29+1.33+4.25</f>
        <v>5.87</v>
      </c>
    </row>
    <row r="1903" spans="2:4" ht="12.75">
      <c r="B1903" s="61" t="s">
        <v>19</v>
      </c>
      <c r="C1903" s="61"/>
      <c r="D1903" s="73">
        <v>17.38</v>
      </c>
    </row>
    <row r="1904" spans="2:4" ht="12.75">
      <c r="B1904" s="68" t="s">
        <v>42</v>
      </c>
      <c r="C1904" s="68"/>
      <c r="D1904" s="66">
        <f>48.2+18.16+0.79</f>
        <v>67.15</v>
      </c>
    </row>
    <row r="1905" spans="2:4" ht="12.75">
      <c r="B1905" s="68" t="s">
        <v>54</v>
      </c>
      <c r="C1905" s="68"/>
      <c r="D1905" s="66">
        <v>28.04</v>
      </c>
    </row>
    <row r="1906" spans="2:4" ht="12.75">
      <c r="B1906" s="54"/>
      <c r="C1906" s="40" t="s">
        <v>21</v>
      </c>
      <c r="D1906" s="66">
        <f>D1893+D1894+D1898+D1903+D1904+D1905</f>
        <v>531.55</v>
      </c>
    </row>
    <row r="1907" spans="2:4" ht="12.75">
      <c r="B1907" s="55">
        <v>4</v>
      </c>
      <c r="C1907" s="60" t="s">
        <v>9</v>
      </c>
      <c r="D1907" s="66">
        <f>D1906-D1890/1000</f>
        <v>-47.880160000000046</v>
      </c>
    </row>
    <row r="1908" spans="2:4" ht="12.75">
      <c r="B1908" s="69"/>
      <c r="C1908" s="69"/>
      <c r="D1908" s="69"/>
    </row>
    <row r="1909" spans="2:4" ht="12.75">
      <c r="B1909" s="70" t="s">
        <v>47</v>
      </c>
      <c r="C1909" s="70"/>
      <c r="D1909" s="70"/>
    </row>
    <row r="1911" spans="2:4" ht="12.75">
      <c r="B1911" s="53" t="s">
        <v>0</v>
      </c>
      <c r="C1911" s="53"/>
      <c r="D1911" s="53"/>
    </row>
    <row r="1912" spans="2:4" ht="12.75">
      <c r="B1912" s="53" t="s">
        <v>30</v>
      </c>
      <c r="C1912" s="53"/>
      <c r="D1912" s="53"/>
    </row>
    <row r="1913" spans="2:4" ht="12.75">
      <c r="B1913" s="53" t="s">
        <v>115</v>
      </c>
      <c r="C1913" s="53"/>
      <c r="D1913" s="53"/>
    </row>
    <row r="1914" spans="2:4" ht="12.75">
      <c r="B1914" s="54"/>
      <c r="C1914" s="54" t="s">
        <v>3</v>
      </c>
      <c r="D1914" s="55" t="s">
        <v>4</v>
      </c>
    </row>
    <row r="1915" spans="2:4" ht="12.75">
      <c r="B1915" s="55">
        <v>1</v>
      </c>
      <c r="C1915" s="56" t="s">
        <v>5</v>
      </c>
      <c r="D1915" s="54">
        <v>1967.97</v>
      </c>
    </row>
    <row r="1916" spans="2:4" ht="12.75">
      <c r="B1916" s="55">
        <v>2</v>
      </c>
      <c r="C1916" s="58" t="s">
        <v>53</v>
      </c>
      <c r="D1916" s="54"/>
    </row>
    <row r="1917" spans="2:4" ht="12.75">
      <c r="B1917" s="55"/>
      <c r="C1917" s="54" t="s">
        <v>7</v>
      </c>
      <c r="D1917" s="59">
        <v>395945.31</v>
      </c>
    </row>
    <row r="1918" spans="2:4" ht="12.75">
      <c r="B1918" s="55"/>
      <c r="C1918" s="54" t="s">
        <v>8</v>
      </c>
      <c r="D1918" s="59">
        <v>401051.09</v>
      </c>
    </row>
    <row r="1919" spans="2:4" ht="12.75">
      <c r="B1919" s="55"/>
      <c r="C1919" s="54" t="s">
        <v>9</v>
      </c>
      <c r="D1919" s="59">
        <f>D1918-D1917</f>
        <v>5105.780000000028</v>
      </c>
    </row>
    <row r="1920" spans="2:4" ht="12.75">
      <c r="B1920" s="55">
        <v>3</v>
      </c>
      <c r="C1920" s="60" t="s">
        <v>10</v>
      </c>
      <c r="D1920" s="55" t="s">
        <v>11</v>
      </c>
    </row>
    <row r="1921" spans="2:4" ht="12.75">
      <c r="B1921" s="61" t="s">
        <v>14</v>
      </c>
      <c r="C1921" s="61"/>
      <c r="D1921" s="59">
        <v>53.45</v>
      </c>
    </row>
    <row r="1922" spans="2:4" ht="12.75" customHeight="1">
      <c r="B1922" s="62" t="s">
        <v>34</v>
      </c>
      <c r="C1922" s="62"/>
      <c r="D1922" s="55">
        <f>D1923+D1924+D1925</f>
        <v>141.92000000000002</v>
      </c>
    </row>
    <row r="1923" spans="2:4" ht="12.75">
      <c r="B1923" s="54"/>
      <c r="C1923" s="63" t="s">
        <v>35</v>
      </c>
      <c r="D1923" s="59">
        <v>76.18</v>
      </c>
    </row>
    <row r="1924" spans="2:4" ht="12.75">
      <c r="B1924" s="54"/>
      <c r="C1924" s="63" t="s">
        <v>36</v>
      </c>
      <c r="D1924" s="72">
        <v>65.74</v>
      </c>
    </row>
    <row r="1925" spans="2:4" ht="12.75">
      <c r="B1925" s="61" t="s">
        <v>37</v>
      </c>
      <c r="C1925" s="61"/>
      <c r="D1925" s="72">
        <v>0</v>
      </c>
    </row>
    <row r="1926" spans="2:4" ht="12.75" customHeight="1">
      <c r="B1926" s="65" t="s">
        <v>38</v>
      </c>
      <c r="C1926" s="65"/>
      <c r="D1926" s="66">
        <f>D1927+D1929+D1930+D1928</f>
        <v>133.32999999999998</v>
      </c>
    </row>
    <row r="1927" spans="2:4" ht="12.75">
      <c r="B1927" s="54"/>
      <c r="C1927" s="63" t="s">
        <v>15</v>
      </c>
      <c r="D1927" s="54">
        <f>73.35+14.82+6.44+9.5+1.93+0.5+3.8+4.26</f>
        <v>114.6</v>
      </c>
    </row>
    <row r="1928" spans="2:4" ht="12.75">
      <c r="B1928" s="54"/>
      <c r="C1928" s="63" t="s">
        <v>39</v>
      </c>
      <c r="D1928" s="59">
        <v>9.14</v>
      </c>
    </row>
    <row r="1929" spans="2:4" ht="12.75">
      <c r="B1929" s="54"/>
      <c r="C1929" s="67" t="s">
        <v>40</v>
      </c>
      <c r="D1929" s="59">
        <v>0</v>
      </c>
    </row>
    <row r="1930" spans="2:4" ht="12.75">
      <c r="B1930" s="54"/>
      <c r="C1930" s="63" t="s">
        <v>41</v>
      </c>
      <c r="D1930" s="59">
        <f>0.18+0.83+8.58</f>
        <v>9.59</v>
      </c>
    </row>
    <row r="1931" spans="2:4" ht="12.75">
      <c r="B1931" s="61" t="s">
        <v>19</v>
      </c>
      <c r="C1931" s="61"/>
      <c r="D1931" s="66">
        <v>12.03</v>
      </c>
    </row>
    <row r="1932" spans="2:4" ht="12.75">
      <c r="B1932" s="68" t="s">
        <v>42</v>
      </c>
      <c r="C1932" s="68"/>
      <c r="D1932" s="66">
        <f>30.11+11.35+0.49</f>
        <v>41.95</v>
      </c>
    </row>
    <row r="1933" spans="2:4" ht="12.75">
      <c r="B1933" s="68" t="s">
        <v>54</v>
      </c>
      <c r="C1933" s="68"/>
      <c r="D1933" s="66">
        <v>26.9</v>
      </c>
    </row>
    <row r="1934" spans="2:4" ht="12.75">
      <c r="B1934" s="54"/>
      <c r="C1934" s="40" t="s">
        <v>21</v>
      </c>
      <c r="D1934" s="66">
        <f>D1921+D1922+D1926+D1931+D1932+D1933</f>
        <v>409.5799999999999</v>
      </c>
    </row>
    <row r="1935" spans="2:4" ht="12.75">
      <c r="B1935" s="55">
        <v>4</v>
      </c>
      <c r="C1935" s="60" t="s">
        <v>9</v>
      </c>
      <c r="D1935" s="66">
        <f>D1934-D1918/1000</f>
        <v>8.528909999999883</v>
      </c>
    </row>
    <row r="1936" spans="2:4" ht="12.75">
      <c r="B1936" s="69"/>
      <c r="C1936" s="69"/>
      <c r="D1936" s="69"/>
    </row>
    <row r="1937" spans="2:4" ht="12.75">
      <c r="B1937" s="70" t="s">
        <v>47</v>
      </c>
      <c r="C1937" s="70"/>
      <c r="D1937" s="70"/>
    </row>
    <row r="1939" spans="2:4" ht="12.75">
      <c r="B1939" s="53" t="s">
        <v>0</v>
      </c>
      <c r="C1939" s="53"/>
      <c r="D1939" s="53"/>
    </row>
    <row r="1940" spans="2:4" ht="12.75">
      <c r="B1940" s="53" t="s">
        <v>30</v>
      </c>
      <c r="C1940" s="53"/>
      <c r="D1940" s="53"/>
    </row>
    <row r="1941" spans="2:4" ht="12.75">
      <c r="B1941" s="53" t="s">
        <v>116</v>
      </c>
      <c r="C1941" s="53"/>
      <c r="D1941" s="53"/>
    </row>
    <row r="1942" spans="2:4" ht="12.75">
      <c r="B1942" s="54"/>
      <c r="C1942" s="54" t="s">
        <v>3</v>
      </c>
      <c r="D1942" s="55" t="s">
        <v>4</v>
      </c>
    </row>
    <row r="1943" spans="2:4" ht="12.75">
      <c r="B1943" s="55">
        <v>1</v>
      </c>
      <c r="C1943" s="56" t="s">
        <v>5</v>
      </c>
      <c r="D1943" s="54">
        <v>2000.23</v>
      </c>
    </row>
    <row r="1944" spans="2:4" ht="12.75">
      <c r="B1944" s="55">
        <v>2</v>
      </c>
      <c r="C1944" s="58" t="s">
        <v>53</v>
      </c>
      <c r="D1944" s="54"/>
    </row>
    <row r="1945" spans="2:4" ht="12.75">
      <c r="B1945" s="55"/>
      <c r="C1945" s="54" t="s">
        <v>7</v>
      </c>
      <c r="D1945" s="59">
        <v>390716.57</v>
      </c>
    </row>
    <row r="1946" spans="2:4" ht="12.75">
      <c r="B1946" s="55"/>
      <c r="C1946" s="54" t="s">
        <v>8</v>
      </c>
      <c r="D1946" s="59">
        <v>347614.57</v>
      </c>
    </row>
    <row r="1947" spans="2:4" ht="12.75">
      <c r="B1947" s="55"/>
      <c r="C1947" s="54" t="s">
        <v>9</v>
      </c>
      <c r="D1947" s="59">
        <f>D1946-D1945</f>
        <v>-43102</v>
      </c>
    </row>
    <row r="1948" spans="2:4" ht="12.75">
      <c r="B1948" s="55">
        <v>3</v>
      </c>
      <c r="C1948" s="60" t="s">
        <v>10</v>
      </c>
      <c r="D1948" s="55" t="s">
        <v>11</v>
      </c>
    </row>
    <row r="1949" spans="2:4" ht="12.75">
      <c r="B1949" s="61" t="s">
        <v>14</v>
      </c>
      <c r="C1949" s="61"/>
      <c r="D1949" s="59">
        <v>52.75</v>
      </c>
    </row>
    <row r="1950" spans="2:4" ht="12.75" customHeight="1">
      <c r="B1950" s="62" t="s">
        <v>34</v>
      </c>
      <c r="C1950" s="62"/>
      <c r="D1950" s="55">
        <f>D1951+D1952+D1953</f>
        <v>349.45</v>
      </c>
    </row>
    <row r="1951" spans="2:4" ht="12.75">
      <c r="B1951" s="54"/>
      <c r="C1951" s="63" t="s">
        <v>35</v>
      </c>
      <c r="D1951" s="59">
        <v>77.43</v>
      </c>
    </row>
    <row r="1952" spans="2:4" ht="12.75">
      <c r="B1952" s="54"/>
      <c r="C1952" s="63" t="s">
        <v>36</v>
      </c>
      <c r="D1952" s="72">
        <v>269.62</v>
      </c>
    </row>
    <row r="1953" spans="2:4" ht="12.75">
      <c r="B1953" s="61" t="s">
        <v>37</v>
      </c>
      <c r="C1953" s="61"/>
      <c r="D1953" s="72">
        <v>2.4</v>
      </c>
    </row>
    <row r="1954" spans="2:4" ht="12.75" customHeight="1">
      <c r="B1954" s="65" t="s">
        <v>38</v>
      </c>
      <c r="C1954" s="65"/>
      <c r="D1954" s="66">
        <f>D1955+D1957+D1958+D1956</f>
        <v>100.03</v>
      </c>
    </row>
    <row r="1955" spans="2:4" ht="12.75">
      <c r="B1955" s="54"/>
      <c r="C1955" s="63" t="s">
        <v>15</v>
      </c>
      <c r="D1955" s="54">
        <f>55.82+11.28+4.9+7.23+1.97+0.51+4.27+8.08</f>
        <v>94.06</v>
      </c>
    </row>
    <row r="1956" spans="2:4" ht="12.75">
      <c r="B1956" s="54"/>
      <c r="C1956" s="63" t="s">
        <v>39</v>
      </c>
      <c r="D1956" s="59">
        <v>4.95</v>
      </c>
    </row>
    <row r="1957" spans="2:4" ht="12.75">
      <c r="B1957" s="54"/>
      <c r="C1957" s="67" t="s">
        <v>40</v>
      </c>
      <c r="D1957" s="59">
        <v>0</v>
      </c>
    </row>
    <row r="1958" spans="2:4" ht="12.75">
      <c r="B1958" s="54"/>
      <c r="C1958" s="63" t="s">
        <v>41</v>
      </c>
      <c r="D1958" s="59">
        <f>0.18+0.84</f>
        <v>1.02</v>
      </c>
    </row>
    <row r="1959" spans="2:4" ht="12.75">
      <c r="B1959" s="61" t="s">
        <v>19</v>
      </c>
      <c r="C1959" s="61"/>
      <c r="D1959" s="66">
        <v>10.43</v>
      </c>
    </row>
    <row r="1960" spans="2:4" ht="12.75">
      <c r="B1960" s="68" t="s">
        <v>42</v>
      </c>
      <c r="C1960" s="68"/>
      <c r="D1960" s="66">
        <f>30.6+11.53+0.5</f>
        <v>42.63</v>
      </c>
    </row>
    <row r="1961" spans="2:4" ht="12.75">
      <c r="B1961" s="68" t="s">
        <v>54</v>
      </c>
      <c r="C1961" s="68"/>
      <c r="D1961" s="66">
        <v>16.55</v>
      </c>
    </row>
    <row r="1962" spans="2:4" ht="12.75">
      <c r="B1962" s="54"/>
      <c r="C1962" s="40" t="s">
        <v>21</v>
      </c>
      <c r="D1962" s="66">
        <f>D1949+D1950+D1954+D1959+D1960+D1961</f>
        <v>571.8399999999999</v>
      </c>
    </row>
    <row r="1963" spans="2:4" ht="12.75">
      <c r="B1963" s="55">
        <v>4</v>
      </c>
      <c r="C1963" s="60" t="s">
        <v>9</v>
      </c>
      <c r="D1963" s="66">
        <f>D1962-D1946/1000</f>
        <v>224.2254299999999</v>
      </c>
    </row>
    <row r="1964" spans="2:4" ht="12.75">
      <c r="B1964" s="69"/>
      <c r="C1964" s="69"/>
      <c r="D1964" s="69"/>
    </row>
    <row r="1965" spans="2:4" ht="12.75">
      <c r="B1965" s="70" t="s">
        <v>47</v>
      </c>
      <c r="C1965" s="70"/>
      <c r="D1965" s="70"/>
    </row>
    <row r="1968" spans="2:4" ht="12.75">
      <c r="B1968" s="53" t="s">
        <v>0</v>
      </c>
      <c r="C1968" s="53"/>
      <c r="D1968" s="53"/>
    </row>
    <row r="1969" spans="2:4" ht="12.75">
      <c r="B1969" s="53" t="s">
        <v>30</v>
      </c>
      <c r="C1969" s="53"/>
      <c r="D1969" s="53"/>
    </row>
    <row r="1970" spans="2:4" ht="12.75">
      <c r="B1970" s="53" t="s">
        <v>117</v>
      </c>
      <c r="C1970" s="53"/>
      <c r="D1970" s="53"/>
    </row>
    <row r="1971" spans="2:4" ht="12.75">
      <c r="B1971" s="54"/>
      <c r="C1971" s="54" t="s">
        <v>3</v>
      </c>
      <c r="D1971" s="55" t="s">
        <v>4</v>
      </c>
    </row>
    <row r="1972" spans="2:4" ht="12.75">
      <c r="B1972" s="55">
        <v>1</v>
      </c>
      <c r="C1972" s="56" t="s">
        <v>5</v>
      </c>
      <c r="D1972" s="54">
        <v>2884.1</v>
      </c>
    </row>
    <row r="1973" spans="2:4" ht="12.75">
      <c r="B1973" s="55">
        <v>2</v>
      </c>
      <c r="C1973" s="55" t="s">
        <v>32</v>
      </c>
      <c r="D1973" s="54"/>
    </row>
    <row r="1974" spans="2:4" ht="12.75">
      <c r="B1974" s="54"/>
      <c r="C1974" s="54" t="s">
        <v>7</v>
      </c>
      <c r="D1974" s="59">
        <v>0</v>
      </c>
    </row>
    <row r="1975" spans="2:4" ht="12.75">
      <c r="B1975" s="54"/>
      <c r="C1975" s="54" t="s">
        <v>33</v>
      </c>
      <c r="D1975" s="59">
        <v>2614.31</v>
      </c>
    </row>
    <row r="1976" spans="2:4" ht="12.75">
      <c r="B1976" s="54"/>
      <c r="C1976" s="54" t="s">
        <v>9</v>
      </c>
      <c r="D1976" s="59">
        <f>D1975-D1974</f>
        <v>2614.31</v>
      </c>
    </row>
    <row r="1977" spans="2:4" ht="12.75">
      <c r="B1977" s="55">
        <v>3</v>
      </c>
      <c r="C1977" s="58" t="s">
        <v>6</v>
      </c>
      <c r="D1977" s="54"/>
    </row>
    <row r="1978" spans="2:4" ht="12.75">
      <c r="B1978" s="55"/>
      <c r="C1978" s="54" t="s">
        <v>7</v>
      </c>
      <c r="D1978" s="59">
        <v>526713.62</v>
      </c>
    </row>
    <row r="1979" spans="2:4" ht="12.75">
      <c r="B1979" s="55"/>
      <c r="C1979" s="54" t="s">
        <v>8</v>
      </c>
      <c r="D1979" s="59">
        <v>520404.74</v>
      </c>
    </row>
    <row r="1980" spans="2:4" ht="12.75">
      <c r="B1980" s="55"/>
      <c r="C1980" s="54" t="s">
        <v>9</v>
      </c>
      <c r="D1980" s="59">
        <f>D1979-D1978</f>
        <v>-6308.880000000005</v>
      </c>
    </row>
    <row r="1981" spans="2:4" ht="12.75">
      <c r="B1981" s="55">
        <v>4</v>
      </c>
      <c r="C1981" s="60" t="s">
        <v>10</v>
      </c>
      <c r="D1981" s="55" t="s">
        <v>11</v>
      </c>
    </row>
    <row r="1982" spans="2:4" ht="12.75">
      <c r="B1982" s="61" t="s">
        <v>14</v>
      </c>
      <c r="C1982" s="61"/>
      <c r="D1982" s="59">
        <v>71.1</v>
      </c>
    </row>
    <row r="1983" spans="2:4" ht="12.75" customHeight="1">
      <c r="B1983" s="62" t="s">
        <v>34</v>
      </c>
      <c r="C1983" s="62"/>
      <c r="D1983" s="55">
        <f>D1984+D1985+D1986</f>
        <v>327.74</v>
      </c>
    </row>
    <row r="1984" spans="2:4" ht="12.75">
      <c r="B1984" s="54"/>
      <c r="C1984" s="63" t="s">
        <v>35</v>
      </c>
      <c r="D1984" s="59">
        <v>111.64</v>
      </c>
    </row>
    <row r="1985" spans="2:4" ht="12.75">
      <c r="B1985" s="54"/>
      <c r="C1985" s="63" t="s">
        <v>36</v>
      </c>
      <c r="D1985" s="72">
        <v>192.1</v>
      </c>
    </row>
    <row r="1986" spans="2:4" ht="12.75">
      <c r="B1986" s="61" t="s">
        <v>37</v>
      </c>
      <c r="C1986" s="61"/>
      <c r="D1986" s="72">
        <v>24</v>
      </c>
    </row>
    <row r="1987" spans="2:4" ht="12.75" customHeight="1">
      <c r="B1987" s="65" t="s">
        <v>38</v>
      </c>
      <c r="C1987" s="65"/>
      <c r="D1987" s="66">
        <f>D1988+D1990+D1991+D1989</f>
        <v>129.15</v>
      </c>
    </row>
    <row r="1988" spans="2:4" ht="12.75">
      <c r="B1988" s="54"/>
      <c r="C1988" s="63" t="s">
        <v>15</v>
      </c>
      <c r="D1988" s="54">
        <f>69.95+14.13+6.14+9.05+2.84+4+0.73+2.46+2.37</f>
        <v>111.67</v>
      </c>
    </row>
    <row r="1989" spans="2:4" ht="12.75">
      <c r="B1989" s="54"/>
      <c r="C1989" s="63" t="s">
        <v>39</v>
      </c>
      <c r="D1989" s="59">
        <v>15.99</v>
      </c>
    </row>
    <row r="1990" spans="2:4" ht="12.75">
      <c r="B1990" s="54"/>
      <c r="C1990" s="67" t="s">
        <v>40</v>
      </c>
      <c r="D1990" s="59">
        <v>0</v>
      </c>
    </row>
    <row r="1991" spans="2:4" ht="12.75">
      <c r="B1991" s="54"/>
      <c r="C1991" s="63" t="s">
        <v>41</v>
      </c>
      <c r="D1991" s="59">
        <f>0.27+1.22</f>
        <v>1.49</v>
      </c>
    </row>
    <row r="1992" spans="2:4" ht="12.75">
      <c r="B1992" s="61" t="s">
        <v>19</v>
      </c>
      <c r="C1992" s="61"/>
      <c r="D1992" s="66">
        <v>15.61</v>
      </c>
    </row>
    <row r="1993" spans="2:4" ht="12.75">
      <c r="B1993" s="68" t="s">
        <v>42</v>
      </c>
      <c r="C1993" s="68"/>
      <c r="D1993" s="66">
        <f>44.13+16.63+0.72</f>
        <v>61.480000000000004</v>
      </c>
    </row>
    <row r="1994" spans="2:4" ht="12.75">
      <c r="B1994" s="54"/>
      <c r="C1994" s="40" t="s">
        <v>21</v>
      </c>
      <c r="D1994" s="66">
        <f>D1982+D1983+D1987+D1992+D1993</f>
        <v>605.08</v>
      </c>
    </row>
    <row r="1995" spans="2:4" ht="12.75">
      <c r="B1995" s="55">
        <v>5</v>
      </c>
      <c r="C1995" s="60" t="s">
        <v>9</v>
      </c>
      <c r="D1995" s="66">
        <f>D1994-D1979/1000</f>
        <v>84.6752600000001</v>
      </c>
    </row>
    <row r="1996" spans="2:4" ht="12.75">
      <c r="B1996" s="69"/>
      <c r="C1996" s="69"/>
      <c r="D1996" s="69"/>
    </row>
    <row r="1997" spans="2:4" ht="12.75">
      <c r="B1997" s="70" t="s">
        <v>47</v>
      </c>
      <c r="C1997" s="70"/>
      <c r="D1997" s="70"/>
    </row>
    <row r="1999" spans="2:4" ht="12.75">
      <c r="B1999" s="53" t="s">
        <v>0</v>
      </c>
      <c r="C1999" s="53"/>
      <c r="D1999" s="53"/>
    </row>
    <row r="2000" spans="2:4" ht="12.75">
      <c r="B2000" s="53" t="s">
        <v>30</v>
      </c>
      <c r="C2000" s="53"/>
      <c r="D2000" s="53"/>
    </row>
    <row r="2001" spans="2:4" ht="12.75">
      <c r="B2001" s="53" t="s">
        <v>118</v>
      </c>
      <c r="C2001" s="53"/>
      <c r="D2001" s="53"/>
    </row>
    <row r="2002" spans="2:4" ht="12.75">
      <c r="B2002" s="54"/>
      <c r="C2002" s="54" t="s">
        <v>3</v>
      </c>
      <c r="D2002" s="55" t="s">
        <v>4</v>
      </c>
    </row>
    <row r="2003" spans="2:4" ht="12.75">
      <c r="B2003" s="55">
        <v>1</v>
      </c>
      <c r="C2003" s="56" t="s">
        <v>5</v>
      </c>
      <c r="D2003" s="54">
        <v>6075</v>
      </c>
    </row>
    <row r="2004" spans="2:4" ht="12.75">
      <c r="B2004" s="55">
        <v>2</v>
      </c>
      <c r="C2004" s="55" t="s">
        <v>32</v>
      </c>
      <c r="D2004" s="54"/>
    </row>
    <row r="2005" spans="2:4" ht="12.75">
      <c r="B2005" s="54"/>
      <c r="C2005" s="54" t="s">
        <v>7</v>
      </c>
      <c r="D2005" s="59">
        <v>0</v>
      </c>
    </row>
    <row r="2006" spans="2:4" ht="12.75">
      <c r="B2006" s="54"/>
      <c r="C2006" s="54" t="s">
        <v>33</v>
      </c>
      <c r="D2006" s="59">
        <v>12167.84</v>
      </c>
    </row>
    <row r="2007" spans="2:4" ht="12.75">
      <c r="B2007" s="54"/>
      <c r="C2007" s="54" t="s">
        <v>9</v>
      </c>
      <c r="D2007" s="59">
        <f>D2006-D2005</f>
        <v>12167.84</v>
      </c>
    </row>
    <row r="2008" spans="2:4" ht="12.75">
      <c r="B2008" s="55">
        <v>3</v>
      </c>
      <c r="C2008" s="58" t="s">
        <v>6</v>
      </c>
      <c r="D2008" s="54"/>
    </row>
    <row r="2009" spans="2:4" ht="12.75">
      <c r="B2009" s="55"/>
      <c r="C2009" s="54" t="s">
        <v>7</v>
      </c>
      <c r="D2009" s="59">
        <v>1119898.01</v>
      </c>
    </row>
    <row r="2010" spans="2:4" ht="12.75">
      <c r="B2010" s="55"/>
      <c r="C2010" s="54" t="s">
        <v>8</v>
      </c>
      <c r="D2010" s="59">
        <v>1103653.22</v>
      </c>
    </row>
    <row r="2011" spans="2:4" ht="12.75">
      <c r="B2011" s="55"/>
      <c r="C2011" s="54" t="s">
        <v>9</v>
      </c>
      <c r="D2011" s="59">
        <f>D2010-D2009</f>
        <v>-16244.790000000037</v>
      </c>
    </row>
    <row r="2012" spans="2:4" ht="12.75">
      <c r="B2012" s="55">
        <v>4</v>
      </c>
      <c r="C2012" s="60" t="s">
        <v>10</v>
      </c>
      <c r="D2012" s="55" t="s">
        <v>11</v>
      </c>
    </row>
    <row r="2013" spans="2:4" ht="12.75">
      <c r="B2013" s="61" t="s">
        <v>14</v>
      </c>
      <c r="C2013" s="61"/>
      <c r="D2013" s="59">
        <v>151.2</v>
      </c>
    </row>
    <row r="2014" spans="2:4" ht="12.75" customHeight="1">
      <c r="B2014" s="62" t="s">
        <v>34</v>
      </c>
      <c r="C2014" s="62"/>
      <c r="D2014" s="55">
        <f>D2015+D2016+D2017</f>
        <v>421.59999999999997</v>
      </c>
    </row>
    <row r="2015" spans="2:4" ht="12.75">
      <c r="B2015" s="54"/>
      <c r="C2015" s="63" t="s">
        <v>35</v>
      </c>
      <c r="D2015" s="59">
        <v>235.15</v>
      </c>
    </row>
    <row r="2016" spans="2:4" ht="12.75">
      <c r="B2016" s="54"/>
      <c r="C2016" s="63" t="s">
        <v>36</v>
      </c>
      <c r="D2016" s="72">
        <v>185.25</v>
      </c>
    </row>
    <row r="2017" spans="2:4" ht="12.75">
      <c r="B2017" s="61" t="s">
        <v>37</v>
      </c>
      <c r="C2017" s="61"/>
      <c r="D2017" s="72">
        <v>1.2</v>
      </c>
    </row>
    <row r="2018" spans="2:4" ht="12.75" customHeight="1">
      <c r="B2018" s="65" t="s">
        <v>38</v>
      </c>
      <c r="C2018" s="65"/>
      <c r="D2018" s="66">
        <f>D2019+D2021+D2022+D2020</f>
        <v>265.95000000000005</v>
      </c>
    </row>
    <row r="2019" spans="2:4" ht="12.75">
      <c r="B2019" s="54"/>
      <c r="C2019" s="63" t="s">
        <v>15</v>
      </c>
      <c r="D2019" s="54">
        <f>157.81+31.88+13.86+20.43+5.97+1.54+10.15+5</f>
        <v>246.64000000000001</v>
      </c>
    </row>
    <row r="2020" spans="2:4" ht="12.75">
      <c r="B2020" s="54"/>
      <c r="C2020" s="63" t="s">
        <v>39</v>
      </c>
      <c r="D2020" s="59">
        <v>16.13</v>
      </c>
    </row>
    <row r="2021" spans="2:4" ht="12.75">
      <c r="B2021" s="54"/>
      <c r="C2021" s="67" t="s">
        <v>40</v>
      </c>
      <c r="D2021" s="59">
        <v>0</v>
      </c>
    </row>
    <row r="2022" spans="2:4" ht="12.75">
      <c r="B2022" s="54"/>
      <c r="C2022" s="63" t="s">
        <v>41</v>
      </c>
      <c r="D2022" s="59">
        <f>0.56+2.57+0.05</f>
        <v>3.18</v>
      </c>
    </row>
    <row r="2023" spans="2:4" ht="12.75">
      <c r="B2023" s="61" t="s">
        <v>19</v>
      </c>
      <c r="C2023" s="61"/>
      <c r="D2023" s="66">
        <v>33.1</v>
      </c>
    </row>
    <row r="2024" spans="2:4" ht="12.75">
      <c r="B2024" s="68" t="s">
        <v>42</v>
      </c>
      <c r="C2024" s="68"/>
      <c r="D2024" s="66">
        <f>92.95+35.03+1.52</f>
        <v>129.5</v>
      </c>
    </row>
    <row r="2025" spans="2:4" ht="12.75">
      <c r="B2025" s="54"/>
      <c r="C2025" s="40" t="s">
        <v>21</v>
      </c>
      <c r="D2025" s="66">
        <f>D2013+D2014+D2018+D2023+D2024</f>
        <v>1001.35</v>
      </c>
    </row>
    <row r="2026" spans="2:4" ht="12.75">
      <c r="B2026" s="55">
        <v>5</v>
      </c>
      <c r="C2026" s="60" t="s">
        <v>9</v>
      </c>
      <c r="D2026" s="66">
        <f>D2025-D2010/1000</f>
        <v>-102.3032199999999</v>
      </c>
    </row>
    <row r="2027" spans="2:4" ht="12.75">
      <c r="B2027" s="69"/>
      <c r="C2027" s="69"/>
      <c r="D2027" s="69"/>
    </row>
    <row r="2028" spans="2:4" ht="12.75">
      <c r="B2028" s="70" t="s">
        <v>47</v>
      </c>
      <c r="C2028" s="70"/>
      <c r="D2028" s="70"/>
    </row>
    <row r="2030" spans="2:4" ht="12.75">
      <c r="B2030" s="53" t="s">
        <v>0</v>
      </c>
      <c r="C2030" s="53"/>
      <c r="D2030" s="53"/>
    </row>
    <row r="2031" spans="2:4" ht="12.75">
      <c r="B2031" s="53" t="s">
        <v>30</v>
      </c>
      <c r="C2031" s="53"/>
      <c r="D2031" s="53"/>
    </row>
    <row r="2032" spans="2:4" ht="12.75">
      <c r="B2032" s="53" t="s">
        <v>119</v>
      </c>
      <c r="C2032" s="53"/>
      <c r="D2032" s="53"/>
    </row>
    <row r="2033" spans="2:4" ht="12.75">
      <c r="B2033" s="54"/>
      <c r="C2033" s="54" t="s">
        <v>3</v>
      </c>
      <c r="D2033" s="55" t="s">
        <v>4</v>
      </c>
    </row>
    <row r="2034" spans="2:4" ht="12.75">
      <c r="B2034" s="55">
        <v>1</v>
      </c>
      <c r="C2034" s="56" t="s">
        <v>5</v>
      </c>
      <c r="D2034" s="54">
        <v>3710.17</v>
      </c>
    </row>
    <row r="2035" spans="2:4" ht="12.75">
      <c r="B2035" s="55"/>
      <c r="C2035" s="55" t="s">
        <v>32</v>
      </c>
      <c r="D2035" s="54"/>
    </row>
    <row r="2036" spans="2:4" ht="12.75">
      <c r="B2036" s="55"/>
      <c r="C2036" s="54" t="s">
        <v>7</v>
      </c>
      <c r="D2036" s="54">
        <v>15657.84</v>
      </c>
    </row>
    <row r="2037" spans="2:4" ht="12.75">
      <c r="B2037" s="55"/>
      <c r="C2037" s="54" t="s">
        <v>33</v>
      </c>
      <c r="D2037" s="54">
        <v>6539.9</v>
      </c>
    </row>
    <row r="2038" spans="2:4" ht="12.75">
      <c r="B2038" s="55"/>
      <c r="C2038" s="54" t="s">
        <v>9</v>
      </c>
      <c r="D2038" s="54">
        <f>D2037-D2036</f>
        <v>-9117.94</v>
      </c>
    </row>
    <row r="2039" spans="2:4" ht="12.75">
      <c r="B2039" s="55">
        <v>2</v>
      </c>
      <c r="C2039" s="58" t="s">
        <v>53</v>
      </c>
      <c r="D2039" s="54"/>
    </row>
    <row r="2040" spans="2:4" ht="12.75">
      <c r="B2040" s="55"/>
      <c r="C2040" s="54" t="s">
        <v>7</v>
      </c>
      <c r="D2040" s="59">
        <v>674933.06</v>
      </c>
    </row>
    <row r="2041" spans="2:4" ht="12.75">
      <c r="B2041" s="55"/>
      <c r="C2041" s="54" t="s">
        <v>8</v>
      </c>
      <c r="D2041" s="59">
        <v>591235.02</v>
      </c>
    </row>
    <row r="2042" spans="2:4" ht="12.75">
      <c r="B2042" s="55"/>
      <c r="C2042" s="54" t="s">
        <v>9</v>
      </c>
      <c r="D2042" s="59">
        <f>D2041-D2040</f>
        <v>-83698.04000000004</v>
      </c>
    </row>
    <row r="2043" spans="2:4" ht="12.75">
      <c r="B2043" s="55">
        <v>3</v>
      </c>
      <c r="C2043" s="60" t="s">
        <v>10</v>
      </c>
      <c r="D2043" s="55" t="s">
        <v>11</v>
      </c>
    </row>
    <row r="2044" spans="2:4" ht="12.75">
      <c r="B2044" s="61" t="s">
        <v>14</v>
      </c>
      <c r="C2044" s="61"/>
      <c r="D2044" s="59">
        <v>91.12</v>
      </c>
    </row>
    <row r="2045" spans="2:4" ht="12.75" customHeight="1">
      <c r="B2045" s="62" t="s">
        <v>34</v>
      </c>
      <c r="C2045" s="62"/>
      <c r="D2045" s="55">
        <f>D2046+D2047+D2048</f>
        <v>211.61</v>
      </c>
    </row>
    <row r="2046" spans="2:4" ht="12.75">
      <c r="B2046" s="54"/>
      <c r="C2046" s="63" t="s">
        <v>35</v>
      </c>
      <c r="D2046" s="59">
        <v>143.61</v>
      </c>
    </row>
    <row r="2047" spans="2:4" ht="12.75">
      <c r="B2047" s="54"/>
      <c r="C2047" s="63" t="s">
        <v>36</v>
      </c>
      <c r="D2047" s="72">
        <v>65</v>
      </c>
    </row>
    <row r="2048" spans="2:4" ht="12.75">
      <c r="B2048" s="61" t="s">
        <v>37</v>
      </c>
      <c r="C2048" s="61"/>
      <c r="D2048" s="72">
        <v>3</v>
      </c>
    </row>
    <row r="2049" spans="2:4" ht="12.75" customHeight="1">
      <c r="B2049" s="65" t="s">
        <v>38</v>
      </c>
      <c r="C2049" s="65"/>
      <c r="D2049" s="66">
        <f>D2050+D2052+D2053+D2051</f>
        <v>141.53</v>
      </c>
    </row>
    <row r="2050" spans="2:4" ht="12.75">
      <c r="B2050" s="54"/>
      <c r="C2050" s="63" t="s">
        <v>15</v>
      </c>
      <c r="D2050" s="54">
        <f>79+16+6.94+10.23+3.65+2.4+0.94+2.74+3.05</f>
        <v>124.95</v>
      </c>
    </row>
    <row r="2051" spans="2:4" ht="12.75">
      <c r="B2051" s="54"/>
      <c r="C2051" s="63" t="s">
        <v>39</v>
      </c>
      <c r="D2051" s="59">
        <v>10</v>
      </c>
    </row>
    <row r="2052" spans="2:4" ht="12.75">
      <c r="B2052" s="54"/>
      <c r="C2052" s="67" t="s">
        <v>40</v>
      </c>
      <c r="D2052" s="59">
        <v>1.9</v>
      </c>
    </row>
    <row r="2053" spans="2:4" ht="12.75">
      <c r="B2053" s="54"/>
      <c r="C2053" s="63" t="s">
        <v>41</v>
      </c>
      <c r="D2053" s="59">
        <f>0.34+1.57+2.77</f>
        <v>4.68</v>
      </c>
    </row>
    <row r="2054" spans="2:4" ht="12.75">
      <c r="B2054" s="61" t="s">
        <v>19</v>
      </c>
      <c r="C2054" s="61"/>
      <c r="D2054" s="66">
        <v>17.74</v>
      </c>
    </row>
    <row r="2055" spans="2:4" ht="12.75">
      <c r="B2055" s="68" t="s">
        <v>42</v>
      </c>
      <c r="C2055" s="68"/>
      <c r="D2055" s="66">
        <f>56.77+21.4+0.93</f>
        <v>79.10000000000001</v>
      </c>
    </row>
    <row r="2056" spans="2:4" ht="12.75">
      <c r="B2056" s="68" t="s">
        <v>54</v>
      </c>
      <c r="C2056" s="68"/>
      <c r="D2056" s="66">
        <v>49.65</v>
      </c>
    </row>
    <row r="2057" spans="2:4" ht="12.75">
      <c r="B2057" s="54"/>
      <c r="C2057" s="40" t="s">
        <v>21</v>
      </c>
      <c r="D2057" s="66">
        <f>D2044+D2045+D2049+D2054+D2055+D2056</f>
        <v>590.75</v>
      </c>
    </row>
    <row r="2058" spans="2:4" ht="12.75">
      <c r="B2058" s="55">
        <v>4</v>
      </c>
      <c r="C2058" s="60" t="s">
        <v>9</v>
      </c>
      <c r="D2058" s="66">
        <f>D2057-D2041/1000</f>
        <v>-0.48501999999996315</v>
      </c>
    </row>
    <row r="2059" spans="2:4" ht="12.75">
      <c r="B2059" s="69"/>
      <c r="C2059" s="69"/>
      <c r="D2059" s="69"/>
    </row>
    <row r="2060" spans="2:4" ht="12.75">
      <c r="B2060" s="70" t="s">
        <v>47</v>
      </c>
      <c r="C2060" s="70"/>
      <c r="D2060" s="70"/>
    </row>
    <row r="2062" spans="2:4" ht="12.75">
      <c r="B2062" s="53" t="s">
        <v>0</v>
      </c>
      <c r="C2062" s="53"/>
      <c r="D2062" s="53"/>
    </row>
    <row r="2063" spans="2:4" ht="12.75">
      <c r="B2063" s="53" t="s">
        <v>30</v>
      </c>
      <c r="C2063" s="53"/>
      <c r="D2063" s="53"/>
    </row>
    <row r="2064" spans="2:4" ht="12.75">
      <c r="B2064" s="53" t="s">
        <v>120</v>
      </c>
      <c r="C2064" s="53"/>
      <c r="D2064" s="53"/>
    </row>
    <row r="2065" spans="2:4" ht="12.75">
      <c r="B2065" s="54"/>
      <c r="C2065" s="54" t="s">
        <v>3</v>
      </c>
      <c r="D2065" s="55" t="s">
        <v>4</v>
      </c>
    </row>
    <row r="2066" spans="2:4" ht="12.75">
      <c r="B2066" s="55">
        <v>1</v>
      </c>
      <c r="C2066" s="56" t="s">
        <v>5</v>
      </c>
      <c r="D2066" s="54">
        <v>3167.3</v>
      </c>
    </row>
    <row r="2067" spans="2:4" ht="12.75">
      <c r="B2067" s="55"/>
      <c r="C2067" s="55" t="s">
        <v>32</v>
      </c>
      <c r="D2067" s="54"/>
    </row>
    <row r="2068" spans="2:4" ht="12.75">
      <c r="B2068" s="55"/>
      <c r="C2068" s="54" t="s">
        <v>7</v>
      </c>
      <c r="D2068" s="54">
        <v>75048.62</v>
      </c>
    </row>
    <row r="2069" spans="2:4" ht="12.75">
      <c r="B2069" s="55"/>
      <c r="C2069" s="54" t="s">
        <v>33</v>
      </c>
      <c r="D2069" s="54">
        <v>69794.34</v>
      </c>
    </row>
    <row r="2070" spans="2:4" ht="12.75">
      <c r="B2070" s="55"/>
      <c r="C2070" s="54" t="s">
        <v>9</v>
      </c>
      <c r="D2070" s="54">
        <f>D2069-D2068</f>
        <v>-5254.279999999999</v>
      </c>
    </row>
    <row r="2071" spans="2:4" ht="12.75">
      <c r="B2071" s="55">
        <v>2</v>
      </c>
      <c r="C2071" s="58" t="s">
        <v>53</v>
      </c>
      <c r="D2071" s="54"/>
    </row>
    <row r="2072" spans="2:4" ht="12.75">
      <c r="B2072" s="55"/>
      <c r="C2072" s="54" t="s">
        <v>7</v>
      </c>
      <c r="D2072" s="59">
        <v>618731.82</v>
      </c>
    </row>
    <row r="2073" spans="2:4" ht="12.75">
      <c r="B2073" s="55"/>
      <c r="C2073" s="54" t="s">
        <v>8</v>
      </c>
      <c r="D2073" s="59">
        <v>605698.92</v>
      </c>
    </row>
    <row r="2074" spans="2:4" ht="12.75">
      <c r="B2074" s="55"/>
      <c r="C2074" s="54" t="s">
        <v>9</v>
      </c>
      <c r="D2074" s="59">
        <f>D2073-D2072</f>
        <v>-13032.899999999907</v>
      </c>
    </row>
    <row r="2075" spans="2:4" ht="12.75">
      <c r="B2075" s="55">
        <v>3</v>
      </c>
      <c r="C2075" s="60" t="s">
        <v>10</v>
      </c>
      <c r="D2075" s="55" t="s">
        <v>11</v>
      </c>
    </row>
    <row r="2076" spans="2:4" ht="12.75">
      <c r="B2076" s="61" t="s">
        <v>14</v>
      </c>
      <c r="C2076" s="61"/>
      <c r="D2076" s="59">
        <v>83.53</v>
      </c>
    </row>
    <row r="2077" spans="2:4" ht="12.75" customHeight="1">
      <c r="B2077" s="62" t="s">
        <v>34</v>
      </c>
      <c r="C2077" s="62"/>
      <c r="D2077" s="55">
        <f>D2078+D2079+D2080</f>
        <v>314</v>
      </c>
    </row>
    <row r="2078" spans="2:4" ht="12.75">
      <c r="B2078" s="54"/>
      <c r="C2078" s="63" t="s">
        <v>35</v>
      </c>
      <c r="D2078" s="59">
        <v>122.6</v>
      </c>
    </row>
    <row r="2079" spans="2:4" ht="12.75">
      <c r="B2079" s="54"/>
      <c r="C2079" s="63" t="s">
        <v>36</v>
      </c>
      <c r="D2079" s="72">
        <v>191.4</v>
      </c>
    </row>
    <row r="2080" spans="2:4" ht="12.75">
      <c r="B2080" s="61" t="s">
        <v>37</v>
      </c>
      <c r="C2080" s="61"/>
      <c r="D2080" s="72">
        <v>0</v>
      </c>
    </row>
    <row r="2081" spans="2:4" ht="12.75" customHeight="1">
      <c r="B2081" s="65" t="s">
        <v>38</v>
      </c>
      <c r="C2081" s="65"/>
      <c r="D2081" s="66">
        <f>D2082+D2084+D2085+D2083</f>
        <v>158.04000000000002</v>
      </c>
    </row>
    <row r="2082" spans="2:4" ht="12.75">
      <c r="B2082" s="54"/>
      <c r="C2082" s="63" t="s">
        <v>15</v>
      </c>
      <c r="D2082" s="54">
        <f>88.92+18+7.8+11.5+0.9+3.11+0.8+3.03+2.61</f>
        <v>136.67000000000004</v>
      </c>
    </row>
    <row r="2083" spans="2:4" ht="12.75">
      <c r="B2083" s="54"/>
      <c r="C2083" s="63" t="s">
        <v>39</v>
      </c>
      <c r="D2083" s="59">
        <v>17.2</v>
      </c>
    </row>
    <row r="2084" spans="2:4" ht="12.75">
      <c r="B2084" s="54"/>
      <c r="C2084" s="67" t="s">
        <v>40</v>
      </c>
      <c r="D2084" s="59">
        <v>0</v>
      </c>
    </row>
    <row r="2085" spans="2:4" ht="12.75">
      <c r="B2085" s="54"/>
      <c r="C2085" s="63" t="s">
        <v>41</v>
      </c>
      <c r="D2085" s="59">
        <f>0.3+1.34+2.53</f>
        <v>4.17</v>
      </c>
    </row>
    <row r="2086" spans="2:4" ht="12.75">
      <c r="B2086" s="61" t="s">
        <v>19</v>
      </c>
      <c r="C2086" s="61"/>
      <c r="D2086" s="66">
        <v>18.17</v>
      </c>
    </row>
    <row r="2087" spans="2:4" ht="12.75">
      <c r="B2087" s="68" t="s">
        <v>42</v>
      </c>
      <c r="C2087" s="68"/>
      <c r="D2087" s="66">
        <f>48.46+18.26+0.79</f>
        <v>67.51</v>
      </c>
    </row>
    <row r="2088" spans="2:4" ht="12.75">
      <c r="B2088" s="68" t="s">
        <v>54</v>
      </c>
      <c r="C2088" s="68"/>
      <c r="D2088" s="66">
        <v>16.55</v>
      </c>
    </row>
    <row r="2089" spans="2:4" ht="12.75">
      <c r="B2089" s="54"/>
      <c r="C2089" s="40" t="s">
        <v>21</v>
      </c>
      <c r="D2089" s="66">
        <f>D2076+D2077+D2081+D2086+D2087+D2088</f>
        <v>657.7999999999998</v>
      </c>
    </row>
    <row r="2090" spans="2:4" ht="12.75">
      <c r="B2090" s="55">
        <v>4</v>
      </c>
      <c r="C2090" s="60" t="s">
        <v>9</v>
      </c>
      <c r="D2090" s="66">
        <f>D2089-D2073/1000</f>
        <v>52.1010799999998</v>
      </c>
    </row>
    <row r="2091" spans="2:4" ht="12.75">
      <c r="B2091" s="69"/>
      <c r="C2091" s="69"/>
      <c r="D2091" s="69"/>
    </row>
    <row r="2092" spans="2:4" ht="12.75">
      <c r="B2092" s="70" t="s">
        <v>47</v>
      </c>
      <c r="C2092" s="70"/>
      <c r="D2092" s="70"/>
    </row>
    <row r="2094" spans="2:4" ht="12.75">
      <c r="B2094" s="53" t="s">
        <v>0</v>
      </c>
      <c r="C2094" s="53"/>
      <c r="D2094" s="53"/>
    </row>
    <row r="2095" spans="2:4" ht="12.75">
      <c r="B2095" s="53" t="s">
        <v>30</v>
      </c>
      <c r="C2095" s="53"/>
      <c r="D2095" s="53"/>
    </row>
    <row r="2096" spans="2:4" ht="12.75">
      <c r="B2096" s="53" t="s">
        <v>121</v>
      </c>
      <c r="C2096" s="53"/>
      <c r="D2096" s="53"/>
    </row>
    <row r="2097" spans="2:4" ht="12.75">
      <c r="B2097" s="54"/>
      <c r="C2097" s="54" t="s">
        <v>3</v>
      </c>
      <c r="D2097" s="55" t="s">
        <v>4</v>
      </c>
    </row>
    <row r="2098" spans="2:4" ht="12.75">
      <c r="B2098" s="55">
        <v>1</v>
      </c>
      <c r="C2098" s="56" t="s">
        <v>5</v>
      </c>
      <c r="D2098" s="54">
        <v>1919.78</v>
      </c>
    </row>
    <row r="2099" spans="2:4" ht="12.75">
      <c r="B2099" s="55"/>
      <c r="C2099" s="55" t="s">
        <v>32</v>
      </c>
      <c r="D2099" s="54"/>
    </row>
    <row r="2100" spans="2:4" ht="12.75">
      <c r="B2100" s="55"/>
      <c r="C2100" s="54" t="s">
        <v>7</v>
      </c>
      <c r="D2100" s="54">
        <v>2608.98</v>
      </c>
    </row>
    <row r="2101" spans="2:4" ht="12.75">
      <c r="B2101" s="55"/>
      <c r="C2101" s="54" t="s">
        <v>33</v>
      </c>
      <c r="D2101" s="54">
        <v>2505.2</v>
      </c>
    </row>
    <row r="2102" spans="2:4" ht="12.75">
      <c r="B2102" s="55"/>
      <c r="C2102" s="54" t="s">
        <v>9</v>
      </c>
      <c r="D2102" s="54">
        <f>D2101-D2100</f>
        <v>-103.7800000000002</v>
      </c>
    </row>
    <row r="2103" spans="2:4" ht="12.75">
      <c r="B2103" s="55">
        <v>2</v>
      </c>
      <c r="C2103" s="58" t="s">
        <v>53</v>
      </c>
      <c r="D2103" s="54"/>
    </row>
    <row r="2104" spans="2:4" ht="12.75">
      <c r="B2104" s="55"/>
      <c r="C2104" s="54" t="s">
        <v>7</v>
      </c>
      <c r="D2104" s="59">
        <v>363858.8</v>
      </c>
    </row>
    <row r="2105" spans="2:4" ht="12.75">
      <c r="B2105" s="55"/>
      <c r="C2105" s="54" t="s">
        <v>8</v>
      </c>
      <c r="D2105" s="59">
        <v>359543.98</v>
      </c>
    </row>
    <row r="2106" spans="2:4" ht="12.75">
      <c r="B2106" s="55"/>
      <c r="C2106" s="54" t="s">
        <v>9</v>
      </c>
      <c r="D2106" s="59">
        <f>D2105-D2104</f>
        <v>-4314.820000000007</v>
      </c>
    </row>
    <row r="2107" spans="2:4" ht="12.75">
      <c r="B2107" s="55">
        <v>3</v>
      </c>
      <c r="C2107" s="60" t="s">
        <v>10</v>
      </c>
      <c r="D2107" s="55" t="s">
        <v>11</v>
      </c>
    </row>
    <row r="2108" spans="2:4" ht="12.75">
      <c r="B2108" s="61" t="s">
        <v>14</v>
      </c>
      <c r="C2108" s="61"/>
      <c r="D2108" s="59">
        <v>49.1</v>
      </c>
    </row>
    <row r="2109" spans="2:4" ht="12.75" customHeight="1">
      <c r="B2109" s="62" t="s">
        <v>34</v>
      </c>
      <c r="C2109" s="62"/>
      <c r="D2109" s="55">
        <f>D2110+D2111+D2112</f>
        <v>287.95</v>
      </c>
    </row>
    <row r="2110" spans="2:4" ht="12.75">
      <c r="B2110" s="54"/>
      <c r="C2110" s="63" t="s">
        <v>35</v>
      </c>
      <c r="D2110" s="59">
        <v>74.3</v>
      </c>
    </row>
    <row r="2111" spans="2:4" ht="12.75">
      <c r="B2111" s="54"/>
      <c r="C2111" s="63" t="s">
        <v>36</v>
      </c>
      <c r="D2111" s="72">
        <v>213.65</v>
      </c>
    </row>
    <row r="2112" spans="2:4" ht="12.75">
      <c r="B2112" s="61" t="s">
        <v>37</v>
      </c>
      <c r="C2112" s="61"/>
      <c r="D2112" s="72">
        <v>0</v>
      </c>
    </row>
    <row r="2113" spans="2:4" ht="12.75" customHeight="1">
      <c r="B2113" s="65" t="s">
        <v>38</v>
      </c>
      <c r="C2113" s="65"/>
      <c r="D2113" s="66">
        <f>D2114+D2116+D2117+D2115</f>
        <v>95.72</v>
      </c>
    </row>
    <row r="2114" spans="2:4" ht="12.75">
      <c r="B2114" s="54"/>
      <c r="C2114" s="63" t="s">
        <v>15</v>
      </c>
      <c r="D2114" s="54">
        <f>56.54+11.42+4.97+7.32+1.88+0.49+3.14+1.58</f>
        <v>87.33999999999999</v>
      </c>
    </row>
    <row r="2115" spans="2:4" ht="12.75">
      <c r="B2115" s="54"/>
      <c r="C2115" s="63" t="s">
        <v>39</v>
      </c>
      <c r="D2115" s="59">
        <v>7.4</v>
      </c>
    </row>
    <row r="2116" spans="2:4" ht="12.75">
      <c r="B2116" s="54"/>
      <c r="C2116" s="67" t="s">
        <v>40</v>
      </c>
      <c r="D2116" s="59">
        <v>0</v>
      </c>
    </row>
    <row r="2117" spans="2:4" ht="12.75">
      <c r="B2117" s="54"/>
      <c r="C2117" s="63" t="s">
        <v>41</v>
      </c>
      <c r="D2117" s="59">
        <f>0.18+0.8</f>
        <v>0.98</v>
      </c>
    </row>
    <row r="2118" spans="2:4" ht="12.75">
      <c r="B2118" s="61" t="s">
        <v>19</v>
      </c>
      <c r="C2118" s="61"/>
      <c r="D2118" s="66">
        <v>10.81</v>
      </c>
    </row>
    <row r="2119" spans="2:4" ht="12.75">
      <c r="B2119" s="68" t="s">
        <v>42</v>
      </c>
      <c r="C2119" s="68"/>
      <c r="D2119" s="66">
        <f>29.37+11.07+0.48</f>
        <v>40.919999999999995</v>
      </c>
    </row>
    <row r="2120" spans="2:4" ht="12.75">
      <c r="B2120" s="68" t="s">
        <v>54</v>
      </c>
      <c r="C2120" s="68"/>
      <c r="D2120" s="66">
        <v>16.55</v>
      </c>
    </row>
    <row r="2121" spans="2:4" ht="12.75">
      <c r="B2121" s="54"/>
      <c r="C2121" s="40" t="s">
        <v>21</v>
      </c>
      <c r="D2121" s="66">
        <f>D2108+D2109+D2113+D2118+D2119+D2120</f>
        <v>501.05</v>
      </c>
    </row>
    <row r="2122" spans="2:4" ht="12.75">
      <c r="B2122" s="55">
        <v>4</v>
      </c>
      <c r="C2122" s="60" t="s">
        <v>9</v>
      </c>
      <c r="D2122" s="66">
        <f>D2121-D2105/1000</f>
        <v>141.50602000000003</v>
      </c>
    </row>
    <row r="2123" spans="2:4" ht="12.75">
      <c r="B2123" s="69"/>
      <c r="C2123" s="69"/>
      <c r="D2123" s="69"/>
    </row>
    <row r="2124" spans="2:4" ht="12.75">
      <c r="B2124" s="70" t="s">
        <v>47</v>
      </c>
      <c r="C2124" s="70"/>
      <c r="D2124" s="70"/>
    </row>
    <row r="2126" spans="2:4" ht="12.75">
      <c r="B2126" s="53" t="s">
        <v>0</v>
      </c>
      <c r="C2126" s="53"/>
      <c r="D2126" s="53"/>
    </row>
    <row r="2127" spans="2:4" ht="12.75">
      <c r="B2127" s="53" t="s">
        <v>30</v>
      </c>
      <c r="C2127" s="53"/>
      <c r="D2127" s="53"/>
    </row>
    <row r="2128" spans="2:4" ht="12.75">
      <c r="B2128" s="53" t="s">
        <v>122</v>
      </c>
      <c r="C2128" s="53"/>
      <c r="D2128" s="53"/>
    </row>
    <row r="2129" spans="2:4" ht="12.75">
      <c r="B2129" s="54"/>
      <c r="C2129" s="54" t="s">
        <v>3</v>
      </c>
      <c r="D2129" s="55" t="s">
        <v>4</v>
      </c>
    </row>
    <row r="2130" spans="2:4" ht="12.75">
      <c r="B2130" s="55">
        <v>1</v>
      </c>
      <c r="C2130" s="56" t="s">
        <v>5</v>
      </c>
      <c r="D2130" s="54">
        <v>2036</v>
      </c>
    </row>
    <row r="2131" spans="2:4" ht="12.75">
      <c r="B2131" s="55"/>
      <c r="C2131" s="55" t="s">
        <v>32</v>
      </c>
      <c r="D2131" s="54"/>
    </row>
    <row r="2132" spans="2:4" ht="12.75">
      <c r="B2132" s="55"/>
      <c r="C2132" s="54" t="s">
        <v>7</v>
      </c>
      <c r="D2132" s="54">
        <v>769.76</v>
      </c>
    </row>
    <row r="2133" spans="2:4" ht="12.75">
      <c r="B2133" s="55"/>
      <c r="C2133" s="54" t="s">
        <v>33</v>
      </c>
      <c r="D2133" s="54">
        <v>304.16</v>
      </c>
    </row>
    <row r="2134" spans="2:4" ht="12.75">
      <c r="B2134" s="55"/>
      <c r="C2134" s="54" t="s">
        <v>9</v>
      </c>
      <c r="D2134" s="54">
        <f>D2133-D2132</f>
        <v>-465.59999999999997</v>
      </c>
    </row>
    <row r="2135" spans="2:4" ht="12.75">
      <c r="B2135" s="55">
        <v>2</v>
      </c>
      <c r="C2135" s="58" t="s">
        <v>53</v>
      </c>
      <c r="D2135" s="54"/>
    </row>
    <row r="2136" spans="2:4" ht="12.75">
      <c r="B2136" s="55"/>
      <c r="C2136" s="54" t="s">
        <v>7</v>
      </c>
      <c r="D2136" s="59">
        <v>393333.02</v>
      </c>
    </row>
    <row r="2137" spans="2:4" ht="12.75">
      <c r="B2137" s="55"/>
      <c r="C2137" s="54" t="s">
        <v>8</v>
      </c>
      <c r="D2137" s="59">
        <v>355658.34</v>
      </c>
    </row>
    <row r="2138" spans="2:4" ht="12.75">
      <c r="B2138" s="55"/>
      <c r="C2138" s="54" t="s">
        <v>9</v>
      </c>
      <c r="D2138" s="59">
        <f>D2137-D2136</f>
        <v>-37674.67999999999</v>
      </c>
    </row>
    <row r="2139" spans="2:4" ht="12.75">
      <c r="B2139" s="55">
        <v>3</v>
      </c>
      <c r="C2139" s="60" t="s">
        <v>10</v>
      </c>
      <c r="D2139" s="55" t="s">
        <v>11</v>
      </c>
    </row>
    <row r="2140" spans="2:4" ht="12.75">
      <c r="B2140" s="61" t="s">
        <v>14</v>
      </c>
      <c r="C2140" s="61"/>
      <c r="D2140" s="59">
        <v>53.1</v>
      </c>
    </row>
    <row r="2141" spans="2:4" ht="12.75" customHeight="1">
      <c r="B2141" s="62" t="s">
        <v>34</v>
      </c>
      <c r="C2141" s="62"/>
      <c r="D2141" s="55">
        <f>D2142+D2143+D2144</f>
        <v>130.68</v>
      </c>
    </row>
    <row r="2142" spans="2:4" ht="12.75">
      <c r="B2142" s="54"/>
      <c r="C2142" s="63" t="s">
        <v>35</v>
      </c>
      <c r="D2142" s="59">
        <v>78.81</v>
      </c>
    </row>
    <row r="2143" spans="2:4" ht="12.75">
      <c r="B2143" s="54"/>
      <c r="C2143" s="63" t="s">
        <v>36</v>
      </c>
      <c r="D2143" s="72">
        <v>48.87</v>
      </c>
    </row>
    <row r="2144" spans="2:4" ht="12.75">
      <c r="B2144" s="61" t="s">
        <v>37</v>
      </c>
      <c r="C2144" s="61"/>
      <c r="D2144" s="72">
        <v>3</v>
      </c>
    </row>
    <row r="2145" spans="2:4" ht="12.75" customHeight="1">
      <c r="B2145" s="65" t="s">
        <v>38</v>
      </c>
      <c r="C2145" s="65"/>
      <c r="D2145" s="66">
        <f>D2146+D2148+D2149+D2147</f>
        <v>149.35000000000005</v>
      </c>
    </row>
    <row r="2146" spans="2:4" ht="12.75">
      <c r="B2146" s="54"/>
      <c r="C2146" s="63" t="s">
        <v>15</v>
      </c>
      <c r="D2146" s="54">
        <f>76.34+15.42+6.7+9.9+9+2+2.4+0.52+13.2+3.84+1.86</f>
        <v>141.18000000000004</v>
      </c>
    </row>
    <row r="2147" spans="2:4" ht="12.75">
      <c r="B2147" s="54"/>
      <c r="C2147" s="63" t="s">
        <v>39</v>
      </c>
      <c r="D2147" s="59">
        <v>7.12</v>
      </c>
    </row>
    <row r="2148" spans="2:4" ht="12.75">
      <c r="B2148" s="54"/>
      <c r="C2148" s="67" t="s">
        <v>40</v>
      </c>
      <c r="D2148" s="59">
        <v>0</v>
      </c>
    </row>
    <row r="2149" spans="2:4" ht="12.75">
      <c r="B2149" s="54"/>
      <c r="C2149" s="63" t="s">
        <v>41</v>
      </c>
      <c r="D2149" s="59">
        <f>0.19+0.86</f>
        <v>1.05</v>
      </c>
    </row>
    <row r="2150" spans="2:4" ht="12.75">
      <c r="B2150" s="61" t="s">
        <v>19</v>
      </c>
      <c r="C2150" s="61"/>
      <c r="D2150" s="66">
        <v>10.66</v>
      </c>
    </row>
    <row r="2151" spans="2:4" ht="12.75">
      <c r="B2151" s="68" t="s">
        <v>42</v>
      </c>
      <c r="C2151" s="68"/>
      <c r="D2151" s="66">
        <f>31.15+11.74+0.51</f>
        <v>43.4</v>
      </c>
    </row>
    <row r="2152" spans="2:4" ht="12.75">
      <c r="B2152" s="68" t="s">
        <v>54</v>
      </c>
      <c r="C2152" s="68"/>
      <c r="D2152" s="66">
        <v>16.55</v>
      </c>
    </row>
    <row r="2153" spans="2:4" ht="12.75">
      <c r="B2153" s="54"/>
      <c r="C2153" s="40" t="s">
        <v>21</v>
      </c>
      <c r="D2153" s="66">
        <f>D2140+D2141+D2145+D2150+D2151+D2152</f>
        <v>403.74000000000007</v>
      </c>
    </row>
    <row r="2154" spans="2:4" ht="12.75">
      <c r="B2154" s="55">
        <v>4</v>
      </c>
      <c r="C2154" s="60" t="s">
        <v>9</v>
      </c>
      <c r="D2154" s="66">
        <f>D2153-D2137/1000</f>
        <v>48.081660000000056</v>
      </c>
    </row>
    <row r="2155" spans="2:4" ht="12.75">
      <c r="B2155" s="69"/>
      <c r="C2155" s="69"/>
      <c r="D2155" s="69"/>
    </row>
    <row r="2156" spans="2:4" ht="12.75">
      <c r="B2156" s="70" t="s">
        <v>47</v>
      </c>
      <c r="C2156" s="70"/>
      <c r="D2156" s="70"/>
    </row>
    <row r="2158" spans="2:4" ht="12.75">
      <c r="B2158" s="53" t="s">
        <v>0</v>
      </c>
      <c r="C2158" s="53"/>
      <c r="D2158" s="53"/>
    </row>
    <row r="2159" spans="2:4" ht="12.75">
      <c r="B2159" s="53" t="s">
        <v>30</v>
      </c>
      <c r="C2159" s="53"/>
      <c r="D2159" s="53"/>
    </row>
    <row r="2160" spans="2:4" ht="12.75">
      <c r="B2160" s="53" t="s">
        <v>123</v>
      </c>
      <c r="C2160" s="53"/>
      <c r="D2160" s="53"/>
    </row>
    <row r="2161" spans="2:4" ht="12.75">
      <c r="B2161" s="54"/>
      <c r="C2161" s="54" t="s">
        <v>3</v>
      </c>
      <c r="D2161" s="55" t="s">
        <v>4</v>
      </c>
    </row>
    <row r="2162" spans="2:4" ht="12.75">
      <c r="B2162" s="55">
        <v>1</v>
      </c>
      <c r="C2162" s="56" t="s">
        <v>5</v>
      </c>
      <c r="D2162" s="54">
        <v>1758.8</v>
      </c>
    </row>
    <row r="2163" spans="2:4" ht="12.75">
      <c r="B2163" s="55">
        <v>2</v>
      </c>
      <c r="C2163" s="55" t="s">
        <v>32</v>
      </c>
      <c r="D2163" s="54"/>
    </row>
    <row r="2164" spans="2:4" ht="12.75">
      <c r="B2164" s="54"/>
      <c r="C2164" s="54" t="s">
        <v>7</v>
      </c>
      <c r="D2164" s="59">
        <v>0</v>
      </c>
    </row>
    <row r="2165" spans="2:4" ht="12.75">
      <c r="B2165" s="54"/>
      <c r="C2165" s="54" t="s">
        <v>33</v>
      </c>
      <c r="D2165" s="59">
        <v>1136.07</v>
      </c>
    </row>
    <row r="2166" spans="2:4" ht="12.75">
      <c r="B2166" s="54"/>
      <c r="C2166" s="54" t="s">
        <v>9</v>
      </c>
      <c r="D2166" s="59">
        <f>D2165-D2164</f>
        <v>1136.07</v>
      </c>
    </row>
    <row r="2167" spans="2:4" ht="12.75">
      <c r="B2167" s="55">
        <v>3</v>
      </c>
      <c r="C2167" s="58" t="s">
        <v>6</v>
      </c>
      <c r="D2167" s="54"/>
    </row>
    <row r="2168" spans="2:4" ht="12.75">
      <c r="B2168" s="55"/>
      <c r="C2168" s="54" t="s">
        <v>7</v>
      </c>
      <c r="D2168" s="59">
        <v>324061.2</v>
      </c>
    </row>
    <row r="2169" spans="2:4" ht="12.75">
      <c r="B2169" s="55"/>
      <c r="C2169" s="54" t="s">
        <v>8</v>
      </c>
      <c r="D2169" s="59">
        <v>338461.53</v>
      </c>
    </row>
    <row r="2170" spans="2:4" ht="12.75">
      <c r="B2170" s="55"/>
      <c r="C2170" s="54" t="s">
        <v>9</v>
      </c>
      <c r="D2170" s="59">
        <f>D2169-D2168</f>
        <v>14400.330000000016</v>
      </c>
    </row>
    <row r="2171" spans="2:4" ht="12.75">
      <c r="B2171" s="55">
        <v>4</v>
      </c>
      <c r="C2171" s="60" t="s">
        <v>10</v>
      </c>
      <c r="D2171" s="55" t="s">
        <v>11</v>
      </c>
    </row>
    <row r="2172" spans="2:4" ht="12.75">
      <c r="B2172" s="61" t="s">
        <v>14</v>
      </c>
      <c r="C2172" s="61"/>
      <c r="D2172" s="59">
        <v>43.75</v>
      </c>
    </row>
    <row r="2173" spans="2:4" ht="12.75" customHeight="1">
      <c r="B2173" s="62" t="s">
        <v>34</v>
      </c>
      <c r="C2173" s="62"/>
      <c r="D2173" s="55">
        <f>D2174+D2175+D2176</f>
        <v>119.35</v>
      </c>
    </row>
    <row r="2174" spans="2:4" ht="12.75">
      <c r="B2174" s="54"/>
      <c r="C2174" s="63" t="s">
        <v>35</v>
      </c>
      <c r="D2174" s="59">
        <v>68.1</v>
      </c>
    </row>
    <row r="2175" spans="2:4" ht="12.75">
      <c r="B2175" s="54"/>
      <c r="C2175" s="63" t="s">
        <v>36</v>
      </c>
      <c r="D2175" s="72">
        <v>51.25</v>
      </c>
    </row>
    <row r="2176" spans="2:4" ht="12.75">
      <c r="B2176" s="61" t="s">
        <v>37</v>
      </c>
      <c r="C2176" s="61"/>
      <c r="D2176" s="72">
        <v>0</v>
      </c>
    </row>
    <row r="2177" spans="2:4" ht="12.75" customHeight="1">
      <c r="B2177" s="65" t="s">
        <v>38</v>
      </c>
      <c r="C2177" s="65"/>
      <c r="D2177" s="66">
        <f>D2178+D2180+D2181+D2179</f>
        <v>124.33000000000001</v>
      </c>
    </row>
    <row r="2178" spans="2:4" ht="12.75">
      <c r="B2178" s="54"/>
      <c r="C2178" s="63" t="s">
        <v>15</v>
      </c>
      <c r="D2178" s="54">
        <f>78.6+15.88+6.9+10.17+1.73+0.45+0.43+1.45</f>
        <v>115.61000000000001</v>
      </c>
    </row>
    <row r="2179" spans="2:4" ht="12.75">
      <c r="B2179" s="54"/>
      <c r="C2179" s="63" t="s">
        <v>39</v>
      </c>
      <c r="D2179" s="59">
        <v>5.74</v>
      </c>
    </row>
    <row r="2180" spans="2:4" ht="12.75">
      <c r="B2180" s="54"/>
      <c r="C2180" s="67" t="s">
        <v>40</v>
      </c>
      <c r="D2180" s="59">
        <v>0</v>
      </c>
    </row>
    <row r="2181" spans="2:4" ht="12.75">
      <c r="B2181" s="54"/>
      <c r="C2181" s="63" t="s">
        <v>41</v>
      </c>
      <c r="D2181" s="59">
        <f>0.16+0.74+2.08</f>
        <v>2.98</v>
      </c>
    </row>
    <row r="2182" spans="2:4" ht="12.75">
      <c r="B2182" s="61" t="s">
        <v>19</v>
      </c>
      <c r="C2182" s="61"/>
      <c r="D2182" s="66">
        <v>10.14</v>
      </c>
    </row>
    <row r="2183" spans="2:4" ht="12.75">
      <c r="B2183" s="68" t="s">
        <v>42</v>
      </c>
      <c r="C2183" s="68"/>
      <c r="D2183" s="66">
        <f>26.91+10.14+0.44</f>
        <v>37.489999999999995</v>
      </c>
    </row>
    <row r="2184" spans="2:4" ht="12.75">
      <c r="B2184" s="54"/>
      <c r="C2184" s="40" t="s">
        <v>21</v>
      </c>
      <c r="D2184" s="66">
        <f>D2172+D2173+D2177+D2182+D2183</f>
        <v>335.06</v>
      </c>
    </row>
    <row r="2185" spans="2:4" ht="12.75">
      <c r="B2185" s="55">
        <v>5</v>
      </c>
      <c r="C2185" s="60" t="s">
        <v>9</v>
      </c>
      <c r="D2185" s="66">
        <f>D2184-D2169/1000</f>
        <v>-3.4015300000000366</v>
      </c>
    </row>
    <row r="2186" spans="2:4" ht="12.75">
      <c r="B2186" s="69"/>
      <c r="C2186" s="69"/>
      <c r="D2186" s="69"/>
    </row>
    <row r="2187" spans="2:4" ht="12.75">
      <c r="B2187" s="70" t="s">
        <v>47</v>
      </c>
      <c r="C2187" s="70"/>
      <c r="D2187" s="70"/>
    </row>
    <row r="2189" spans="2:4" ht="12.75">
      <c r="B2189" s="53" t="s">
        <v>0</v>
      </c>
      <c r="C2189" s="53"/>
      <c r="D2189" s="53"/>
    </row>
    <row r="2190" spans="2:4" ht="12.75">
      <c r="B2190" s="53" t="s">
        <v>30</v>
      </c>
      <c r="C2190" s="53"/>
      <c r="D2190" s="53"/>
    </row>
    <row r="2191" spans="2:4" ht="12.75">
      <c r="B2191" s="53" t="s">
        <v>124</v>
      </c>
      <c r="C2191" s="53"/>
      <c r="D2191" s="53"/>
    </row>
    <row r="2192" spans="2:4" ht="12.75">
      <c r="B2192" s="54"/>
      <c r="C2192" s="54" t="s">
        <v>3</v>
      </c>
      <c r="D2192" s="55" t="s">
        <v>4</v>
      </c>
    </row>
    <row r="2193" spans="2:4" ht="12.75">
      <c r="B2193" s="55">
        <v>1</v>
      </c>
      <c r="C2193" s="56" t="s">
        <v>5</v>
      </c>
      <c r="D2193" s="54">
        <v>1177.6</v>
      </c>
    </row>
    <row r="2194" spans="2:4" ht="12.75">
      <c r="B2194" s="55">
        <v>2</v>
      </c>
      <c r="C2194" s="55" t="s">
        <v>32</v>
      </c>
      <c r="D2194" s="54"/>
    </row>
    <row r="2195" spans="2:4" ht="12.75">
      <c r="B2195" s="54"/>
      <c r="C2195" s="54" t="s">
        <v>7</v>
      </c>
      <c r="D2195" s="59">
        <v>0</v>
      </c>
    </row>
    <row r="2196" spans="2:4" ht="12.75">
      <c r="B2196" s="54"/>
      <c r="C2196" s="54" t="s">
        <v>33</v>
      </c>
      <c r="D2196" s="59">
        <v>302.15</v>
      </c>
    </row>
    <row r="2197" spans="2:4" ht="12.75">
      <c r="B2197" s="54"/>
      <c r="C2197" s="54" t="s">
        <v>9</v>
      </c>
      <c r="D2197" s="59">
        <f>D2196-D2195</f>
        <v>302.15</v>
      </c>
    </row>
    <row r="2198" spans="2:4" ht="12.75">
      <c r="B2198" s="55">
        <v>3</v>
      </c>
      <c r="C2198" s="58" t="s">
        <v>6</v>
      </c>
      <c r="D2198" s="54"/>
    </row>
    <row r="2199" spans="2:4" ht="12.75">
      <c r="B2199" s="55"/>
      <c r="C2199" s="54" t="s">
        <v>7</v>
      </c>
      <c r="D2199" s="59">
        <v>217020.9</v>
      </c>
    </row>
    <row r="2200" spans="2:4" ht="12.75">
      <c r="B2200" s="55"/>
      <c r="C2200" s="54" t="s">
        <v>8</v>
      </c>
      <c r="D2200" s="59">
        <v>210539.32</v>
      </c>
    </row>
    <row r="2201" spans="2:4" ht="12.75">
      <c r="B2201" s="55"/>
      <c r="C2201" s="54" t="s">
        <v>9</v>
      </c>
      <c r="D2201" s="59">
        <f>D2200-D2199</f>
        <v>-6481.579999999987</v>
      </c>
    </row>
    <row r="2202" spans="2:4" ht="12.75">
      <c r="B2202" s="55">
        <v>4</v>
      </c>
      <c r="C2202" s="60" t="s">
        <v>10</v>
      </c>
      <c r="D2202" s="55" t="s">
        <v>11</v>
      </c>
    </row>
    <row r="2203" spans="2:4" ht="12.75">
      <c r="B2203" s="61" t="s">
        <v>14</v>
      </c>
      <c r="C2203" s="61"/>
      <c r="D2203" s="59">
        <v>29.3</v>
      </c>
    </row>
    <row r="2204" spans="2:4" ht="12.75" customHeight="1">
      <c r="B2204" s="62" t="s">
        <v>34</v>
      </c>
      <c r="C2204" s="62"/>
      <c r="D2204" s="55">
        <f>D2205+D2206+D2207</f>
        <v>48.42</v>
      </c>
    </row>
    <row r="2205" spans="2:4" ht="12.75">
      <c r="B2205" s="54"/>
      <c r="C2205" s="63" t="s">
        <v>35</v>
      </c>
      <c r="D2205" s="59">
        <v>45.58</v>
      </c>
    </row>
    <row r="2206" spans="2:4" ht="12.75">
      <c r="B2206" s="54"/>
      <c r="C2206" s="63" t="s">
        <v>36</v>
      </c>
      <c r="D2206" s="72">
        <v>2.84</v>
      </c>
    </row>
    <row r="2207" spans="2:4" ht="12.75">
      <c r="B2207" s="61" t="s">
        <v>37</v>
      </c>
      <c r="C2207" s="61"/>
      <c r="D2207" s="72">
        <v>0</v>
      </c>
    </row>
    <row r="2208" spans="2:4" ht="12.75" customHeight="1">
      <c r="B2208" s="65" t="s">
        <v>38</v>
      </c>
      <c r="C2208" s="65"/>
      <c r="D2208" s="66">
        <f>D2209+D2211+D2212+D2210</f>
        <v>5.319999999999999</v>
      </c>
    </row>
    <row r="2209" spans="2:4" ht="12.75">
      <c r="B2209" s="54"/>
      <c r="C2209" s="63" t="s">
        <v>15</v>
      </c>
      <c r="D2209" s="54">
        <f>0.97</f>
        <v>0.97</v>
      </c>
    </row>
    <row r="2210" spans="2:4" ht="12.75">
      <c r="B2210" s="54"/>
      <c r="C2210" s="63" t="s">
        <v>39</v>
      </c>
      <c r="D2210" s="59">
        <v>4.35</v>
      </c>
    </row>
    <row r="2211" spans="2:4" ht="12.75">
      <c r="B2211" s="54"/>
      <c r="C2211" s="67" t="s">
        <v>40</v>
      </c>
      <c r="D2211" s="59">
        <v>0</v>
      </c>
    </row>
    <row r="2212" spans="2:4" ht="12.75">
      <c r="B2212" s="54"/>
      <c r="C2212" s="63" t="s">
        <v>41</v>
      </c>
      <c r="D2212" s="59">
        <v>0</v>
      </c>
    </row>
    <row r="2213" spans="2:4" ht="12.75">
      <c r="B2213" s="61" t="s">
        <v>19</v>
      </c>
      <c r="C2213" s="61"/>
      <c r="D2213" s="66">
        <v>6.32</v>
      </c>
    </row>
    <row r="2214" spans="2:4" ht="12.75">
      <c r="B2214" s="68" t="s">
        <v>42</v>
      </c>
      <c r="C2214" s="68"/>
      <c r="D2214" s="66">
        <f>18.02</f>
        <v>18.02</v>
      </c>
    </row>
    <row r="2215" spans="2:4" ht="12.75">
      <c r="B2215" s="54"/>
      <c r="C2215" s="40" t="s">
        <v>21</v>
      </c>
      <c r="D2215" s="66">
        <f>D2203+D2204+D2208+D2213+D2214</f>
        <v>107.37999999999998</v>
      </c>
    </row>
    <row r="2216" spans="2:4" ht="12.75">
      <c r="B2216" s="55">
        <v>5</v>
      </c>
      <c r="C2216" s="60" t="s">
        <v>9</v>
      </c>
      <c r="D2216" s="66">
        <f>D2215-D2200/1000</f>
        <v>-103.15932000000002</v>
      </c>
    </row>
    <row r="2217" spans="2:4" ht="12.75">
      <c r="B2217" s="69"/>
      <c r="C2217" s="69"/>
      <c r="D2217" s="69"/>
    </row>
    <row r="2218" spans="2:4" ht="12.75">
      <c r="B2218" s="70" t="s">
        <v>47</v>
      </c>
      <c r="C2218" s="70"/>
      <c r="D2218" s="70"/>
    </row>
    <row r="2220" spans="2:4" ht="12.75">
      <c r="B2220" s="53" t="s">
        <v>0</v>
      </c>
      <c r="C2220" s="53"/>
      <c r="D2220" s="53"/>
    </row>
    <row r="2221" spans="2:4" ht="12.75">
      <c r="B2221" s="53" t="s">
        <v>30</v>
      </c>
      <c r="C2221" s="53"/>
      <c r="D2221" s="53"/>
    </row>
    <row r="2222" spans="2:4" ht="12.75">
      <c r="B2222" s="53" t="s">
        <v>125</v>
      </c>
      <c r="C2222" s="53"/>
      <c r="D2222" s="53"/>
    </row>
    <row r="2223" spans="2:4" ht="12.75">
      <c r="B2223" s="54"/>
      <c r="C2223" s="54" t="s">
        <v>3</v>
      </c>
      <c r="D2223" s="55" t="s">
        <v>4</v>
      </c>
    </row>
    <row r="2224" spans="2:4" ht="12.75">
      <c r="B2224" s="55">
        <v>1</v>
      </c>
      <c r="C2224" s="56" t="s">
        <v>5</v>
      </c>
      <c r="D2224" s="54">
        <v>1622.3</v>
      </c>
    </row>
    <row r="2225" spans="2:4" ht="12.75">
      <c r="B2225" s="55">
        <v>2</v>
      </c>
      <c r="C2225" s="55" t="s">
        <v>32</v>
      </c>
      <c r="D2225" s="54"/>
    </row>
    <row r="2226" spans="2:4" ht="12.75">
      <c r="B2226" s="54"/>
      <c r="C2226" s="54" t="s">
        <v>7</v>
      </c>
      <c r="D2226" s="59">
        <v>0</v>
      </c>
    </row>
    <row r="2227" spans="2:4" ht="12.75">
      <c r="B2227" s="54"/>
      <c r="C2227" s="54" t="s">
        <v>33</v>
      </c>
      <c r="D2227" s="59">
        <v>365</v>
      </c>
    </row>
    <row r="2228" spans="2:4" ht="12.75">
      <c r="B2228" s="54"/>
      <c r="C2228" s="54" t="s">
        <v>9</v>
      </c>
      <c r="D2228" s="59">
        <f>D2227-D2226</f>
        <v>365</v>
      </c>
    </row>
    <row r="2229" spans="2:4" ht="12.75">
      <c r="B2229" s="55">
        <v>3</v>
      </c>
      <c r="C2229" s="58" t="s">
        <v>6</v>
      </c>
      <c r="D2229" s="54"/>
    </row>
    <row r="2230" spans="2:4" ht="12.75">
      <c r="B2230" s="55"/>
      <c r="C2230" s="54" t="s">
        <v>7</v>
      </c>
      <c r="D2230" s="59">
        <v>288304.59</v>
      </c>
    </row>
    <row r="2231" spans="2:4" ht="12.75">
      <c r="B2231" s="55"/>
      <c r="C2231" s="54" t="s">
        <v>8</v>
      </c>
      <c r="D2231" s="59">
        <v>296790.26</v>
      </c>
    </row>
    <row r="2232" spans="2:4" ht="12.75">
      <c r="B2232" s="55"/>
      <c r="C2232" s="54" t="s">
        <v>9</v>
      </c>
      <c r="D2232" s="59">
        <f>D2231-D2230</f>
        <v>8485.669999999984</v>
      </c>
    </row>
    <row r="2233" spans="2:4" ht="12.75">
      <c r="B2233" s="55">
        <v>4</v>
      </c>
      <c r="C2233" s="60" t="s">
        <v>10</v>
      </c>
      <c r="D2233" s="55" t="s">
        <v>11</v>
      </c>
    </row>
    <row r="2234" spans="2:4" ht="12.75">
      <c r="B2234" s="61" t="s">
        <v>14</v>
      </c>
      <c r="C2234" s="61"/>
      <c r="D2234" s="59">
        <v>38.92</v>
      </c>
    </row>
    <row r="2235" spans="2:4" ht="12.75" customHeight="1">
      <c r="B2235" s="62" t="s">
        <v>34</v>
      </c>
      <c r="C2235" s="62"/>
      <c r="D2235" s="55">
        <f>D2236+D2237+D2238</f>
        <v>89.66</v>
      </c>
    </row>
    <row r="2236" spans="2:4" ht="12.75">
      <c r="B2236" s="54"/>
      <c r="C2236" s="63" t="s">
        <v>35</v>
      </c>
      <c r="D2236" s="59">
        <v>62.8</v>
      </c>
    </row>
    <row r="2237" spans="2:4" ht="12.75">
      <c r="B2237" s="54"/>
      <c r="C2237" s="63" t="s">
        <v>36</v>
      </c>
      <c r="D2237" s="72">
        <v>23.26</v>
      </c>
    </row>
    <row r="2238" spans="2:4" ht="12.75">
      <c r="B2238" s="61" t="s">
        <v>37</v>
      </c>
      <c r="C2238" s="61"/>
      <c r="D2238" s="72">
        <v>3.6</v>
      </c>
    </row>
    <row r="2239" spans="2:4" ht="12.75" customHeight="1">
      <c r="B2239" s="65" t="s">
        <v>38</v>
      </c>
      <c r="C2239" s="65"/>
      <c r="D2239" s="66">
        <f>D2240+D2242+D2243+D2241</f>
        <v>92.37</v>
      </c>
    </row>
    <row r="2240" spans="2:4" ht="12.75">
      <c r="B2240" s="54"/>
      <c r="C2240" s="63" t="s">
        <v>15</v>
      </c>
      <c r="D2240" s="54">
        <f>54.35+10.98+4.77+7.03+1.15+1.6+0.41+5.5+1.34</f>
        <v>87.13</v>
      </c>
    </row>
    <row r="2241" spans="2:4" ht="12.75">
      <c r="B2241" s="54"/>
      <c r="C2241" s="63" t="s">
        <v>39</v>
      </c>
      <c r="D2241" s="59">
        <v>4.4</v>
      </c>
    </row>
    <row r="2242" spans="2:4" ht="12.75">
      <c r="B2242" s="54"/>
      <c r="C2242" s="67" t="s">
        <v>40</v>
      </c>
      <c r="D2242" s="59">
        <v>0</v>
      </c>
    </row>
    <row r="2243" spans="2:4" ht="12.75">
      <c r="B2243" s="54"/>
      <c r="C2243" s="63" t="s">
        <v>41</v>
      </c>
      <c r="D2243" s="59">
        <f>0.15+0.69</f>
        <v>0.8400000000000001</v>
      </c>
    </row>
    <row r="2244" spans="2:4" ht="12.75">
      <c r="B2244" s="61" t="s">
        <v>19</v>
      </c>
      <c r="C2244" s="61"/>
      <c r="D2244" s="66">
        <v>8.9</v>
      </c>
    </row>
    <row r="2245" spans="2:4" ht="12.75">
      <c r="B2245" s="68" t="s">
        <v>42</v>
      </c>
      <c r="C2245" s="68"/>
      <c r="D2245" s="66">
        <f>24.82+9.35+0.4</f>
        <v>34.57</v>
      </c>
    </row>
    <row r="2246" spans="2:4" ht="12.75">
      <c r="B2246" s="54"/>
      <c r="C2246" s="40" t="s">
        <v>21</v>
      </c>
      <c r="D2246" s="66">
        <f>D2234+D2235+D2239+D2244+D2245</f>
        <v>264.42</v>
      </c>
    </row>
    <row r="2247" spans="2:4" ht="12.75">
      <c r="B2247" s="55">
        <v>5</v>
      </c>
      <c r="C2247" s="60" t="s">
        <v>9</v>
      </c>
      <c r="D2247" s="66">
        <f>D2246-D2231/1000</f>
        <v>-32.37025999999997</v>
      </c>
    </row>
    <row r="2248" spans="2:4" ht="12.75">
      <c r="B2248" s="69"/>
      <c r="C2248" s="69"/>
      <c r="D2248" s="69"/>
    </row>
    <row r="2249" spans="2:4" ht="12.75">
      <c r="B2249" s="70" t="s">
        <v>47</v>
      </c>
      <c r="C2249" s="70"/>
      <c r="D2249" s="70"/>
    </row>
    <row r="2251" spans="2:4" ht="12.75">
      <c r="B2251" s="53" t="s">
        <v>0</v>
      </c>
      <c r="C2251" s="53"/>
      <c r="D2251" s="53"/>
    </row>
    <row r="2252" spans="2:4" ht="12.75">
      <c r="B2252" s="53" t="s">
        <v>30</v>
      </c>
      <c r="C2252" s="53"/>
      <c r="D2252" s="53"/>
    </row>
    <row r="2253" spans="2:4" ht="12.75">
      <c r="B2253" s="53" t="s">
        <v>126</v>
      </c>
      <c r="C2253" s="53"/>
      <c r="D2253" s="53"/>
    </row>
    <row r="2254" spans="2:4" ht="12.75">
      <c r="B2254" s="54"/>
      <c r="C2254" s="54" t="s">
        <v>3</v>
      </c>
      <c r="D2254" s="55" t="s">
        <v>4</v>
      </c>
    </row>
    <row r="2255" spans="2:4" ht="12.75">
      <c r="B2255" s="55">
        <v>1</v>
      </c>
      <c r="C2255" s="56" t="s">
        <v>5</v>
      </c>
      <c r="D2255" s="54">
        <v>958.67</v>
      </c>
    </row>
    <row r="2256" spans="2:4" ht="12.75">
      <c r="B2256" s="55">
        <v>2</v>
      </c>
      <c r="C2256" s="55" t="s">
        <v>32</v>
      </c>
      <c r="D2256" s="54"/>
    </row>
    <row r="2257" spans="2:4" ht="12.75">
      <c r="B2257" s="54"/>
      <c r="C2257" s="54" t="s">
        <v>7</v>
      </c>
      <c r="D2257" s="59">
        <v>0</v>
      </c>
    </row>
    <row r="2258" spans="2:4" ht="12.75">
      <c r="B2258" s="54"/>
      <c r="C2258" s="54" t="s">
        <v>33</v>
      </c>
      <c r="D2258" s="59">
        <v>4814.39</v>
      </c>
    </row>
    <row r="2259" spans="2:4" ht="12.75">
      <c r="B2259" s="54"/>
      <c r="C2259" s="54" t="s">
        <v>9</v>
      </c>
      <c r="D2259" s="59">
        <f>D2258-D2257</f>
        <v>4814.39</v>
      </c>
    </row>
    <row r="2260" spans="2:4" ht="12.75">
      <c r="B2260" s="55">
        <v>3</v>
      </c>
      <c r="C2260" s="58" t="s">
        <v>6</v>
      </c>
      <c r="D2260" s="54"/>
    </row>
    <row r="2261" spans="2:4" ht="12.75">
      <c r="B2261" s="55"/>
      <c r="C2261" s="54" t="s">
        <v>7</v>
      </c>
      <c r="D2261" s="59">
        <v>176778</v>
      </c>
    </row>
    <row r="2262" spans="2:4" ht="12.75">
      <c r="B2262" s="55"/>
      <c r="C2262" s="54" t="s">
        <v>8</v>
      </c>
      <c r="D2262" s="59">
        <v>178375.31</v>
      </c>
    </row>
    <row r="2263" spans="2:4" ht="12.75">
      <c r="B2263" s="55"/>
      <c r="C2263" s="54" t="s">
        <v>9</v>
      </c>
      <c r="D2263" s="59">
        <f>D2262-D2261</f>
        <v>1597.3099999999977</v>
      </c>
    </row>
    <row r="2264" spans="2:4" ht="12.75">
      <c r="B2264" s="55">
        <v>4</v>
      </c>
      <c r="C2264" s="60" t="s">
        <v>10</v>
      </c>
      <c r="D2264" s="55" t="s">
        <v>11</v>
      </c>
    </row>
    <row r="2265" spans="2:4" ht="12.75">
      <c r="B2265" s="61" t="s">
        <v>14</v>
      </c>
      <c r="C2265" s="61"/>
      <c r="D2265" s="59">
        <v>23.87</v>
      </c>
    </row>
    <row r="2266" spans="2:4" ht="12.75" customHeight="1">
      <c r="B2266" s="62" t="s">
        <v>34</v>
      </c>
      <c r="C2266" s="62"/>
      <c r="D2266" s="55">
        <f>D2267+D2268+D2269</f>
        <v>77.2</v>
      </c>
    </row>
    <row r="2267" spans="2:4" ht="12.75">
      <c r="B2267" s="54"/>
      <c r="C2267" s="63" t="s">
        <v>35</v>
      </c>
      <c r="D2267" s="59">
        <v>37.1</v>
      </c>
    </row>
    <row r="2268" spans="2:4" ht="12.75">
      <c r="B2268" s="54"/>
      <c r="C2268" s="63" t="s">
        <v>36</v>
      </c>
      <c r="D2268" s="72">
        <v>31.7</v>
      </c>
    </row>
    <row r="2269" spans="2:4" ht="12.75">
      <c r="B2269" s="61" t="s">
        <v>37</v>
      </c>
      <c r="C2269" s="61"/>
      <c r="D2269" s="72">
        <v>8.4</v>
      </c>
    </row>
    <row r="2270" spans="2:4" ht="12.75" customHeight="1">
      <c r="B2270" s="65" t="s">
        <v>38</v>
      </c>
      <c r="C2270" s="65"/>
      <c r="D2270" s="66">
        <f>D2271+D2273+D2274+D2272</f>
        <v>60.97</v>
      </c>
    </row>
    <row r="2271" spans="2:4" ht="12.75">
      <c r="B2271" s="54"/>
      <c r="C2271" s="63" t="s">
        <v>15</v>
      </c>
      <c r="D2271" s="54">
        <f>34.86+7.04+3.06+4.51+0.13+0.94+0.24+4.31+0.8</f>
        <v>55.89</v>
      </c>
    </row>
    <row r="2272" spans="2:4" ht="12.75">
      <c r="B2272" s="54"/>
      <c r="C2272" s="63" t="s">
        <v>39</v>
      </c>
      <c r="D2272" s="59">
        <v>4.59</v>
      </c>
    </row>
    <row r="2273" spans="2:4" ht="12.75">
      <c r="B2273" s="54"/>
      <c r="C2273" s="67" t="s">
        <v>40</v>
      </c>
      <c r="D2273" s="59">
        <v>0</v>
      </c>
    </row>
    <row r="2274" spans="2:4" ht="12.75">
      <c r="B2274" s="54"/>
      <c r="C2274" s="63" t="s">
        <v>41</v>
      </c>
      <c r="D2274" s="59">
        <f>0.09+0.4</f>
        <v>0.49</v>
      </c>
    </row>
    <row r="2275" spans="2:4" ht="12.75">
      <c r="B2275" s="61" t="s">
        <v>19</v>
      </c>
      <c r="C2275" s="61"/>
      <c r="D2275" s="66">
        <v>5.35</v>
      </c>
    </row>
    <row r="2276" spans="2:4" ht="12.75">
      <c r="B2276" s="68" t="s">
        <v>42</v>
      </c>
      <c r="C2276" s="68"/>
      <c r="D2276" s="66">
        <f>14.67+5.53+0.24</f>
        <v>20.439999999999998</v>
      </c>
    </row>
    <row r="2277" spans="2:4" ht="12.75">
      <c r="B2277" s="54"/>
      <c r="C2277" s="40" t="s">
        <v>21</v>
      </c>
      <c r="D2277" s="66">
        <f>D2265+D2266+D2270+D2275+D2276</f>
        <v>187.83</v>
      </c>
    </row>
    <row r="2278" spans="2:4" ht="12.75">
      <c r="B2278" s="55">
        <v>5</v>
      </c>
      <c r="C2278" s="60" t="s">
        <v>9</v>
      </c>
      <c r="D2278" s="66">
        <f>D2277-D2262/1000</f>
        <v>9.454690000000028</v>
      </c>
    </row>
    <row r="2279" spans="2:4" ht="12.75">
      <c r="B2279" s="69"/>
      <c r="C2279" s="69"/>
      <c r="D2279" s="69"/>
    </row>
    <row r="2280" spans="2:4" ht="12.75">
      <c r="B2280" s="70" t="s">
        <v>47</v>
      </c>
      <c r="C2280" s="70"/>
      <c r="D2280" s="70"/>
    </row>
    <row r="2282" spans="2:4" ht="12.75">
      <c r="B2282" s="53" t="s">
        <v>0</v>
      </c>
      <c r="C2282" s="53"/>
      <c r="D2282" s="53"/>
    </row>
    <row r="2283" spans="2:4" ht="12.75">
      <c r="B2283" s="53" t="s">
        <v>30</v>
      </c>
      <c r="C2283" s="53"/>
      <c r="D2283" s="53"/>
    </row>
    <row r="2284" spans="2:4" ht="12.75">
      <c r="B2284" s="53" t="s">
        <v>127</v>
      </c>
      <c r="C2284" s="53"/>
      <c r="D2284" s="53"/>
    </row>
    <row r="2285" spans="2:4" ht="12.75">
      <c r="B2285" s="54"/>
      <c r="C2285" s="54" t="s">
        <v>3</v>
      </c>
      <c r="D2285" s="55" t="s">
        <v>4</v>
      </c>
    </row>
    <row r="2286" spans="2:4" ht="12.75">
      <c r="B2286" s="55">
        <v>1</v>
      </c>
      <c r="C2286" s="56" t="s">
        <v>5</v>
      </c>
      <c r="D2286" s="54">
        <v>914.5</v>
      </c>
    </row>
    <row r="2287" spans="2:4" ht="12.75">
      <c r="B2287" s="55">
        <v>2</v>
      </c>
      <c r="C2287" s="55" t="s">
        <v>32</v>
      </c>
      <c r="D2287" s="54"/>
    </row>
    <row r="2288" spans="2:4" ht="12.75">
      <c r="B2288" s="54"/>
      <c r="C2288" s="54" t="s">
        <v>7</v>
      </c>
      <c r="D2288" s="59">
        <v>0</v>
      </c>
    </row>
    <row r="2289" spans="2:4" ht="12.75">
      <c r="B2289" s="54"/>
      <c r="C2289" s="54" t="s">
        <v>33</v>
      </c>
      <c r="D2289" s="59">
        <v>210.39</v>
      </c>
    </row>
    <row r="2290" spans="2:4" ht="12.75">
      <c r="B2290" s="54"/>
      <c r="C2290" s="54" t="s">
        <v>9</v>
      </c>
      <c r="D2290" s="59">
        <f>D2289-D2288</f>
        <v>210.39</v>
      </c>
    </row>
    <row r="2291" spans="2:4" ht="12.75">
      <c r="B2291" s="55">
        <v>3</v>
      </c>
      <c r="C2291" s="58" t="s">
        <v>6</v>
      </c>
      <c r="D2291" s="54"/>
    </row>
    <row r="2292" spans="2:4" ht="12.75">
      <c r="B2292" s="55"/>
      <c r="C2292" s="54" t="s">
        <v>7</v>
      </c>
      <c r="D2292" s="59">
        <v>168999.93</v>
      </c>
    </row>
    <row r="2293" spans="2:4" ht="12.75">
      <c r="B2293" s="55"/>
      <c r="C2293" s="54" t="s">
        <v>8</v>
      </c>
      <c r="D2293" s="59">
        <v>154477.01</v>
      </c>
    </row>
    <row r="2294" spans="2:4" ht="12.75">
      <c r="B2294" s="55"/>
      <c r="C2294" s="54" t="s">
        <v>9</v>
      </c>
      <c r="D2294" s="59">
        <f>D2293-D2292</f>
        <v>-14522.919999999984</v>
      </c>
    </row>
    <row r="2295" spans="2:4" ht="12.75">
      <c r="B2295" s="55">
        <v>4</v>
      </c>
      <c r="C2295" s="60" t="s">
        <v>10</v>
      </c>
      <c r="D2295" s="55" t="s">
        <v>11</v>
      </c>
    </row>
    <row r="2296" spans="2:4" ht="12.75">
      <c r="B2296" s="61" t="s">
        <v>14</v>
      </c>
      <c r="C2296" s="61"/>
      <c r="D2296" s="59">
        <v>22.8</v>
      </c>
    </row>
    <row r="2297" spans="2:4" ht="12.75" customHeight="1">
      <c r="B2297" s="62" t="s">
        <v>34</v>
      </c>
      <c r="C2297" s="62"/>
      <c r="D2297" s="55">
        <f>D2298+D2299+D2300</f>
        <v>100.5</v>
      </c>
    </row>
    <row r="2298" spans="2:4" ht="12.75">
      <c r="B2298" s="54"/>
      <c r="C2298" s="63" t="s">
        <v>35</v>
      </c>
      <c r="D2298" s="59">
        <v>35.4</v>
      </c>
    </row>
    <row r="2299" spans="2:4" ht="12.75">
      <c r="B2299" s="54"/>
      <c r="C2299" s="63" t="s">
        <v>36</v>
      </c>
      <c r="D2299" s="72">
        <v>62.1</v>
      </c>
    </row>
    <row r="2300" spans="2:4" ht="12.75">
      <c r="B2300" s="61" t="s">
        <v>37</v>
      </c>
      <c r="C2300" s="61"/>
      <c r="D2300" s="72">
        <v>3</v>
      </c>
    </row>
    <row r="2301" spans="2:4" ht="12.75" customHeight="1">
      <c r="B2301" s="65" t="s">
        <v>38</v>
      </c>
      <c r="C2301" s="65"/>
      <c r="D2301" s="66">
        <f>D2302+D2304+D2305+D2303</f>
        <v>64.50999999999999</v>
      </c>
    </row>
    <row r="2302" spans="2:4" ht="12.75">
      <c r="B2302" s="54"/>
      <c r="C2302" s="63" t="s">
        <v>15</v>
      </c>
      <c r="D2302" s="54">
        <f>32.57+6.58+2.86+4.22+0.13+0.9+0.23+11.4+0.75</f>
        <v>59.63999999999999</v>
      </c>
    </row>
    <row r="2303" spans="2:4" ht="12.75">
      <c r="B2303" s="54"/>
      <c r="C2303" s="63" t="s">
        <v>39</v>
      </c>
      <c r="D2303" s="59">
        <v>4.4</v>
      </c>
    </row>
    <row r="2304" spans="2:4" ht="12.75">
      <c r="B2304" s="54"/>
      <c r="C2304" s="67" t="s">
        <v>40</v>
      </c>
      <c r="D2304" s="59">
        <v>0</v>
      </c>
    </row>
    <row r="2305" spans="2:4" ht="12.75">
      <c r="B2305" s="54"/>
      <c r="C2305" s="63" t="s">
        <v>41</v>
      </c>
      <c r="D2305" s="59">
        <f>0.08+0.39</f>
        <v>0.47000000000000003</v>
      </c>
    </row>
    <row r="2306" spans="2:4" ht="12.75">
      <c r="B2306" s="61" t="s">
        <v>19</v>
      </c>
      <c r="C2306" s="61"/>
      <c r="D2306" s="66">
        <v>4.65</v>
      </c>
    </row>
    <row r="2307" spans="2:4" ht="12.75">
      <c r="B2307" s="68" t="s">
        <v>42</v>
      </c>
      <c r="C2307" s="68"/>
      <c r="D2307" s="66">
        <f>14+5.27+0.23</f>
        <v>19.5</v>
      </c>
    </row>
    <row r="2308" spans="2:4" ht="12.75">
      <c r="B2308" s="54"/>
      <c r="C2308" s="40" t="s">
        <v>21</v>
      </c>
      <c r="D2308" s="66">
        <f>D2296+D2297+D2301+D2306+D2307</f>
        <v>211.96</v>
      </c>
    </row>
    <row r="2309" spans="2:4" ht="12.75">
      <c r="B2309" s="55">
        <v>5</v>
      </c>
      <c r="C2309" s="60" t="s">
        <v>9</v>
      </c>
      <c r="D2309" s="66">
        <f>D2308-D2293/1000</f>
        <v>57.48299</v>
      </c>
    </row>
    <row r="2310" spans="2:4" ht="12.75">
      <c r="B2310" s="69"/>
      <c r="C2310" s="69"/>
      <c r="D2310" s="69"/>
    </row>
    <row r="2311" spans="2:4" ht="12.75">
      <c r="B2311" s="70" t="s">
        <v>47</v>
      </c>
      <c r="C2311" s="70"/>
      <c r="D2311" s="70"/>
    </row>
    <row r="2313" spans="2:4" ht="12.75">
      <c r="B2313" s="53" t="s">
        <v>0</v>
      </c>
      <c r="C2313" s="53"/>
      <c r="D2313" s="53"/>
    </row>
    <row r="2314" spans="2:4" ht="12.75">
      <c r="B2314" s="53" t="s">
        <v>30</v>
      </c>
      <c r="C2314" s="53"/>
      <c r="D2314" s="53"/>
    </row>
    <row r="2315" spans="2:4" ht="12.75">
      <c r="B2315" s="53" t="s">
        <v>128</v>
      </c>
      <c r="C2315" s="53"/>
      <c r="D2315" s="53"/>
    </row>
    <row r="2316" spans="2:4" ht="12.75">
      <c r="B2316" s="54"/>
      <c r="C2316" s="54" t="s">
        <v>3</v>
      </c>
      <c r="D2316" s="55" t="s">
        <v>4</v>
      </c>
    </row>
    <row r="2317" spans="2:4" ht="12.75">
      <c r="B2317" s="55">
        <v>1</v>
      </c>
      <c r="C2317" s="56" t="s">
        <v>5</v>
      </c>
      <c r="D2317" s="54">
        <v>4021.67</v>
      </c>
    </row>
    <row r="2318" spans="2:4" ht="12.75">
      <c r="B2318" s="55">
        <v>2</v>
      </c>
      <c r="C2318" s="58" t="s">
        <v>53</v>
      </c>
      <c r="D2318" s="54"/>
    </row>
    <row r="2319" spans="2:4" ht="12.75">
      <c r="B2319" s="55"/>
      <c r="C2319" s="54" t="s">
        <v>7</v>
      </c>
      <c r="D2319" s="59">
        <v>805425.32</v>
      </c>
    </row>
    <row r="2320" spans="2:4" ht="12.75">
      <c r="B2320" s="55"/>
      <c r="C2320" s="54" t="s">
        <v>8</v>
      </c>
      <c r="D2320" s="59">
        <v>798621.27</v>
      </c>
    </row>
    <row r="2321" spans="2:4" ht="12.75">
      <c r="B2321" s="55"/>
      <c r="C2321" s="54" t="s">
        <v>9</v>
      </c>
      <c r="D2321" s="59">
        <f>D2320-D2319</f>
        <v>-6804.04999999993</v>
      </c>
    </row>
    <row r="2322" spans="2:4" ht="12.75">
      <c r="B2322" s="55">
        <v>3</v>
      </c>
      <c r="C2322" s="60" t="s">
        <v>10</v>
      </c>
      <c r="D2322" s="55" t="s">
        <v>11</v>
      </c>
    </row>
    <row r="2323" spans="2:4" ht="12.75">
      <c r="B2323" s="61" t="s">
        <v>14</v>
      </c>
      <c r="C2323" s="61"/>
      <c r="D2323" s="59">
        <v>108.73</v>
      </c>
    </row>
    <row r="2324" spans="2:4" ht="12.75" customHeight="1">
      <c r="B2324" s="62" t="s">
        <v>34</v>
      </c>
      <c r="C2324" s="62"/>
      <c r="D2324" s="55">
        <f>D2325+D2326+D2327</f>
        <v>410.89</v>
      </c>
    </row>
    <row r="2325" spans="2:4" ht="12.75">
      <c r="B2325" s="54"/>
      <c r="C2325" s="63" t="s">
        <v>35</v>
      </c>
      <c r="D2325" s="59">
        <v>155.67</v>
      </c>
    </row>
    <row r="2326" spans="2:4" ht="12.75">
      <c r="B2326" s="54"/>
      <c r="C2326" s="63" t="s">
        <v>36</v>
      </c>
      <c r="D2326" s="72">
        <v>234.22</v>
      </c>
    </row>
    <row r="2327" spans="2:4" ht="12.75">
      <c r="B2327" s="61" t="s">
        <v>37</v>
      </c>
      <c r="C2327" s="61"/>
      <c r="D2327" s="72">
        <v>21</v>
      </c>
    </row>
    <row r="2328" spans="2:4" ht="12.75" customHeight="1">
      <c r="B2328" s="65" t="s">
        <v>38</v>
      </c>
      <c r="C2328" s="65"/>
      <c r="D2328" s="66">
        <f>D2329+D2331+D2332+D2330</f>
        <v>263.53000000000003</v>
      </c>
    </row>
    <row r="2329" spans="2:4" ht="12.75">
      <c r="B2329" s="54"/>
      <c r="C2329" s="63" t="s">
        <v>15</v>
      </c>
      <c r="D2329" s="54">
        <f>161.9+32.71+14.2+20.96+2.75+3.95+1.02+3.35+3.31</f>
        <v>244.15</v>
      </c>
    </row>
    <row r="2330" spans="2:4" ht="12.75">
      <c r="B2330" s="54"/>
      <c r="C2330" s="63" t="s">
        <v>39</v>
      </c>
      <c r="D2330" s="59">
        <v>15.88</v>
      </c>
    </row>
    <row r="2331" spans="2:4" ht="12.75">
      <c r="B2331" s="54"/>
      <c r="C2331" s="67" t="s">
        <v>40</v>
      </c>
      <c r="D2331" s="59">
        <v>1.43</v>
      </c>
    </row>
    <row r="2332" spans="2:4" ht="12.75">
      <c r="B2332" s="54"/>
      <c r="C2332" s="63" t="s">
        <v>41</v>
      </c>
      <c r="D2332" s="59">
        <f>0.37+1.7</f>
        <v>2.0700000000000003</v>
      </c>
    </row>
    <row r="2333" spans="2:4" ht="12.75">
      <c r="B2333" s="61" t="s">
        <v>19</v>
      </c>
      <c r="C2333" s="61"/>
      <c r="D2333" s="66">
        <v>24</v>
      </c>
    </row>
    <row r="2334" spans="2:4" ht="12.75">
      <c r="B2334" s="68" t="s">
        <v>42</v>
      </c>
      <c r="C2334" s="68"/>
      <c r="D2334" s="66">
        <f>61.53+23.2+1</f>
        <v>85.73</v>
      </c>
    </row>
    <row r="2335" spans="2:4" ht="12.75">
      <c r="B2335" s="68" t="s">
        <v>54</v>
      </c>
      <c r="C2335" s="68"/>
      <c r="D2335" s="66">
        <v>41.4</v>
      </c>
    </row>
    <row r="2336" spans="2:4" ht="12.75">
      <c r="B2336" s="54"/>
      <c r="C2336" s="40" t="s">
        <v>21</v>
      </c>
      <c r="D2336" s="66">
        <f>D2323+D2324+D2328+D2333+D2334+D2335</f>
        <v>934.2800000000001</v>
      </c>
    </row>
    <row r="2337" spans="2:4" ht="12.75">
      <c r="B2337" s="55">
        <v>4</v>
      </c>
      <c r="C2337" s="60" t="s">
        <v>9</v>
      </c>
      <c r="D2337" s="66">
        <f>D2336-D2320/1000</f>
        <v>135.6587300000001</v>
      </c>
    </row>
    <row r="2338" spans="2:4" ht="12.75">
      <c r="B2338" s="69"/>
      <c r="C2338" s="69"/>
      <c r="D2338" s="69"/>
    </row>
    <row r="2339" spans="2:4" ht="12.75">
      <c r="B2339" s="70" t="s">
        <v>47</v>
      </c>
      <c r="C2339" s="70"/>
      <c r="D2339" s="70"/>
    </row>
    <row r="2341" spans="2:4" ht="12.75">
      <c r="B2341" s="53" t="s">
        <v>0</v>
      </c>
      <c r="C2341" s="53"/>
      <c r="D2341" s="53"/>
    </row>
    <row r="2342" spans="2:4" ht="12.75">
      <c r="B2342" s="53" t="s">
        <v>30</v>
      </c>
      <c r="C2342" s="53"/>
      <c r="D2342" s="53"/>
    </row>
    <row r="2343" spans="2:4" ht="12.75">
      <c r="B2343" s="53" t="s">
        <v>129</v>
      </c>
      <c r="C2343" s="53"/>
      <c r="D2343" s="53"/>
    </row>
    <row r="2344" spans="2:4" ht="12.75">
      <c r="B2344" s="54"/>
      <c r="C2344" s="54" t="s">
        <v>3</v>
      </c>
      <c r="D2344" s="55" t="s">
        <v>4</v>
      </c>
    </row>
    <row r="2345" spans="2:4" ht="12.75">
      <c r="B2345" s="55">
        <v>1</v>
      </c>
      <c r="C2345" s="56" t="s">
        <v>5</v>
      </c>
      <c r="D2345" s="54">
        <v>751.8</v>
      </c>
    </row>
    <row r="2346" spans="2:4" ht="12.75">
      <c r="B2346" s="55">
        <v>2</v>
      </c>
      <c r="C2346" s="55" t="s">
        <v>32</v>
      </c>
      <c r="D2346" s="54"/>
    </row>
    <row r="2347" spans="2:4" ht="12.75">
      <c r="B2347" s="54"/>
      <c r="C2347" s="54" t="s">
        <v>7</v>
      </c>
      <c r="D2347" s="59">
        <v>0</v>
      </c>
    </row>
    <row r="2348" spans="2:4" ht="12.75">
      <c r="B2348" s="54"/>
      <c r="C2348" s="54" t="s">
        <v>33</v>
      </c>
      <c r="D2348" s="59">
        <v>311.34</v>
      </c>
    </row>
    <row r="2349" spans="2:4" ht="12.75">
      <c r="B2349" s="54"/>
      <c r="C2349" s="54" t="s">
        <v>9</v>
      </c>
      <c r="D2349" s="59">
        <f>D2348-D2347</f>
        <v>311.34</v>
      </c>
    </row>
    <row r="2350" spans="2:4" ht="12.75">
      <c r="B2350" s="55">
        <v>3</v>
      </c>
      <c r="C2350" s="58" t="s">
        <v>6</v>
      </c>
      <c r="D2350" s="54"/>
    </row>
    <row r="2351" spans="2:4" ht="12.75">
      <c r="B2351" s="55"/>
      <c r="C2351" s="54" t="s">
        <v>7</v>
      </c>
      <c r="D2351" s="59">
        <v>137922.04</v>
      </c>
    </row>
    <row r="2352" spans="2:4" ht="12.75">
      <c r="B2352" s="55"/>
      <c r="C2352" s="54" t="s">
        <v>8</v>
      </c>
      <c r="D2352" s="59">
        <v>132158.74</v>
      </c>
    </row>
    <row r="2353" spans="2:4" ht="12.75">
      <c r="B2353" s="55"/>
      <c r="C2353" s="54" t="s">
        <v>9</v>
      </c>
      <c r="D2353" s="59">
        <f>D2352-D2351</f>
        <v>-5763.3000000000175</v>
      </c>
    </row>
    <row r="2354" spans="2:4" ht="12.75">
      <c r="B2354" s="55">
        <v>4</v>
      </c>
      <c r="C2354" s="60" t="s">
        <v>10</v>
      </c>
      <c r="D2354" s="55" t="s">
        <v>11</v>
      </c>
    </row>
    <row r="2355" spans="2:4" ht="12.75">
      <c r="B2355" s="61" t="s">
        <v>14</v>
      </c>
      <c r="C2355" s="61"/>
      <c r="D2355" s="59">
        <v>18.62</v>
      </c>
    </row>
    <row r="2356" spans="2:4" ht="12.75" customHeight="1">
      <c r="B2356" s="62" t="s">
        <v>34</v>
      </c>
      <c r="C2356" s="62"/>
      <c r="D2356" s="55">
        <f>D2357+D2358+D2359</f>
        <v>47.15</v>
      </c>
    </row>
    <row r="2357" spans="2:4" ht="12.75">
      <c r="B2357" s="54"/>
      <c r="C2357" s="63" t="s">
        <v>35</v>
      </c>
      <c r="D2357" s="59">
        <v>29.1</v>
      </c>
    </row>
    <row r="2358" spans="2:4" ht="12.75">
      <c r="B2358" s="54"/>
      <c r="C2358" s="63" t="s">
        <v>36</v>
      </c>
      <c r="D2358" s="72">
        <v>8.45</v>
      </c>
    </row>
    <row r="2359" spans="2:4" ht="12.75">
      <c r="B2359" s="61" t="s">
        <v>37</v>
      </c>
      <c r="C2359" s="61"/>
      <c r="D2359" s="72">
        <v>9.6</v>
      </c>
    </row>
    <row r="2360" spans="2:4" ht="12.75" customHeight="1">
      <c r="B2360" s="65" t="s">
        <v>38</v>
      </c>
      <c r="C2360" s="65"/>
      <c r="D2360" s="66">
        <f>D2361+D2363+D2364+D2362</f>
        <v>106.88999999999999</v>
      </c>
    </row>
    <row r="2361" spans="2:4" ht="12.75">
      <c r="B2361" s="54"/>
      <c r="C2361" s="63" t="s">
        <v>15</v>
      </c>
      <c r="D2361" s="54">
        <f>71.7+14.48+6.3+9.28+0.74+0.19+2.94+0.62</f>
        <v>106.25</v>
      </c>
    </row>
    <row r="2362" spans="2:4" ht="12.75">
      <c r="B2362" s="54"/>
      <c r="C2362" s="63" t="s">
        <v>39</v>
      </c>
      <c r="D2362" s="59">
        <v>0.32</v>
      </c>
    </row>
    <row r="2363" spans="2:4" ht="12.75">
      <c r="B2363" s="54"/>
      <c r="C2363" s="67" t="s">
        <v>40</v>
      </c>
      <c r="D2363" s="59">
        <v>0</v>
      </c>
    </row>
    <row r="2364" spans="2:4" ht="12.75">
      <c r="B2364" s="54"/>
      <c r="C2364" s="63" t="s">
        <v>41</v>
      </c>
      <c r="D2364" s="59">
        <f>0.32</f>
        <v>0.32</v>
      </c>
    </row>
    <row r="2365" spans="2:4" ht="12.75">
      <c r="B2365" s="61" t="s">
        <v>19</v>
      </c>
      <c r="C2365" s="61"/>
      <c r="D2365" s="66">
        <v>3.99</v>
      </c>
    </row>
    <row r="2366" spans="2:4" ht="12.75">
      <c r="B2366" s="68" t="s">
        <v>42</v>
      </c>
      <c r="C2366" s="68"/>
      <c r="D2366" s="66">
        <f>11.5+4.33+0.2</f>
        <v>16.03</v>
      </c>
    </row>
    <row r="2367" spans="2:4" ht="12.75">
      <c r="B2367" s="54"/>
      <c r="C2367" s="40" t="s">
        <v>21</v>
      </c>
      <c r="D2367" s="66">
        <f>D2355+D2356+D2360+D2365+D2366</f>
        <v>192.67999999999998</v>
      </c>
    </row>
    <row r="2368" spans="2:4" ht="12.75">
      <c r="B2368" s="55">
        <v>5</v>
      </c>
      <c r="C2368" s="60" t="s">
        <v>9</v>
      </c>
      <c r="D2368" s="66">
        <f>D2367-D2352/1000</f>
        <v>60.521259999999984</v>
      </c>
    </row>
    <row r="2369" spans="2:4" ht="12.75">
      <c r="B2369" s="69"/>
      <c r="C2369" s="69"/>
      <c r="D2369" s="69"/>
    </row>
    <row r="2370" spans="2:4" ht="12.75">
      <c r="B2370" s="70" t="s">
        <v>47</v>
      </c>
      <c r="C2370" s="70"/>
      <c r="D2370" s="70"/>
    </row>
    <row r="2372" spans="2:4" ht="12.75">
      <c r="B2372" s="53" t="s">
        <v>0</v>
      </c>
      <c r="C2372" s="53"/>
      <c r="D2372" s="53"/>
    </row>
    <row r="2373" spans="2:4" ht="12.75">
      <c r="B2373" s="53" t="s">
        <v>30</v>
      </c>
      <c r="C2373" s="53"/>
      <c r="D2373" s="53"/>
    </row>
    <row r="2374" spans="2:4" ht="12.75">
      <c r="B2374" s="53" t="s">
        <v>130</v>
      </c>
      <c r="C2374" s="53"/>
      <c r="D2374" s="53"/>
    </row>
    <row r="2375" spans="2:4" ht="12.75">
      <c r="B2375" s="54"/>
      <c r="C2375" s="54" t="s">
        <v>3</v>
      </c>
      <c r="D2375" s="55" t="s">
        <v>4</v>
      </c>
    </row>
    <row r="2376" spans="2:4" ht="12.75">
      <c r="B2376" s="55">
        <v>1</v>
      </c>
      <c r="C2376" s="56" t="s">
        <v>5</v>
      </c>
      <c r="D2376" s="54">
        <v>359.03</v>
      </c>
    </row>
    <row r="2377" spans="2:4" ht="12.75">
      <c r="B2377" s="55">
        <v>2</v>
      </c>
      <c r="C2377" s="58" t="s">
        <v>6</v>
      </c>
      <c r="D2377" s="54"/>
    </row>
    <row r="2378" spans="2:4" ht="12.75">
      <c r="B2378" s="55"/>
      <c r="C2378" s="54" t="s">
        <v>7</v>
      </c>
      <c r="D2378" s="59">
        <v>67906.72</v>
      </c>
    </row>
    <row r="2379" spans="2:4" ht="12.75">
      <c r="B2379" s="55"/>
      <c r="C2379" s="54" t="s">
        <v>8</v>
      </c>
      <c r="D2379" s="59">
        <v>68735.68</v>
      </c>
    </row>
    <row r="2380" spans="2:4" ht="12.75">
      <c r="B2380" s="55"/>
      <c r="C2380" s="54" t="s">
        <v>9</v>
      </c>
      <c r="D2380" s="59">
        <f>D2379-D2378</f>
        <v>828.9599999999919</v>
      </c>
    </row>
    <row r="2381" spans="2:4" ht="12.75">
      <c r="B2381" s="55">
        <v>3</v>
      </c>
      <c r="C2381" s="60" t="s">
        <v>10</v>
      </c>
      <c r="D2381" s="55" t="s">
        <v>11</v>
      </c>
    </row>
    <row r="2382" spans="2:4" ht="12.75">
      <c r="B2382" s="61" t="s">
        <v>14</v>
      </c>
      <c r="C2382" s="61"/>
      <c r="D2382" s="59">
        <v>9.17</v>
      </c>
    </row>
    <row r="2383" spans="2:4" ht="12.75" customHeight="1">
      <c r="B2383" s="62" t="s">
        <v>34</v>
      </c>
      <c r="C2383" s="62"/>
      <c r="D2383" s="55">
        <f>D2384+D2385+D2386</f>
        <v>27.65</v>
      </c>
    </row>
    <row r="2384" spans="2:4" ht="12.75">
      <c r="B2384" s="54"/>
      <c r="C2384" s="63" t="s">
        <v>35</v>
      </c>
      <c r="D2384" s="59">
        <v>13.9</v>
      </c>
    </row>
    <row r="2385" spans="2:4" ht="12.75">
      <c r="B2385" s="54"/>
      <c r="C2385" s="63" t="s">
        <v>36</v>
      </c>
      <c r="D2385" s="72">
        <v>13.75</v>
      </c>
    </row>
    <row r="2386" spans="2:4" ht="12.75">
      <c r="B2386" s="61" t="s">
        <v>37</v>
      </c>
      <c r="C2386" s="61"/>
      <c r="D2386" s="72">
        <v>0</v>
      </c>
    </row>
    <row r="2387" spans="2:4" ht="12.75" customHeight="1">
      <c r="B2387" s="65" t="s">
        <v>38</v>
      </c>
      <c r="C2387" s="65"/>
      <c r="D2387" s="66">
        <f>D2388+D2390+D2391+D2389</f>
        <v>1.1</v>
      </c>
    </row>
    <row r="2388" spans="2:4" ht="12.75">
      <c r="B2388" s="54"/>
      <c r="C2388" s="63" t="s">
        <v>15</v>
      </c>
      <c r="D2388" s="54">
        <f>0.35+0.09+0.3</f>
        <v>0.7400000000000001</v>
      </c>
    </row>
    <row r="2389" spans="2:4" ht="12.75">
      <c r="B2389" s="54"/>
      <c r="C2389" s="63" t="s">
        <v>39</v>
      </c>
      <c r="D2389" s="59">
        <v>0.36</v>
      </c>
    </row>
    <row r="2390" spans="2:4" ht="12.75">
      <c r="B2390" s="54"/>
      <c r="C2390" s="67" t="s">
        <v>40</v>
      </c>
      <c r="D2390" s="59">
        <v>0</v>
      </c>
    </row>
    <row r="2391" spans="2:4" ht="12.75">
      <c r="B2391" s="54"/>
      <c r="C2391" s="63" t="s">
        <v>41</v>
      </c>
      <c r="D2391" s="59">
        <v>0</v>
      </c>
    </row>
    <row r="2392" spans="2:4" ht="12.75">
      <c r="B2392" s="61" t="s">
        <v>19</v>
      </c>
      <c r="C2392" s="61"/>
      <c r="D2392" s="66">
        <v>2.06</v>
      </c>
    </row>
    <row r="2393" spans="2:4" ht="12.75">
      <c r="B2393" s="68" t="s">
        <v>42</v>
      </c>
      <c r="C2393" s="68"/>
      <c r="D2393" s="66">
        <f>5.5+0.08</f>
        <v>5.58</v>
      </c>
    </row>
    <row r="2394" spans="2:4" ht="12.75">
      <c r="B2394" s="54"/>
      <c r="C2394" s="40" t="s">
        <v>21</v>
      </c>
      <c r="D2394" s="66">
        <f>D2382+D2383+D2387+D2392+D2393</f>
        <v>45.56</v>
      </c>
    </row>
    <row r="2395" spans="2:4" ht="12.75">
      <c r="B2395" s="55">
        <v>4</v>
      </c>
      <c r="C2395" s="60" t="s">
        <v>9</v>
      </c>
      <c r="D2395" s="66">
        <f>D2394-D2379/1000</f>
        <v>-23.175679999999986</v>
      </c>
    </row>
    <row r="2396" spans="2:4" ht="12.75">
      <c r="B2396" s="69"/>
      <c r="C2396" s="69"/>
      <c r="D2396" s="69"/>
    </row>
    <row r="2397" spans="2:4" ht="12.75">
      <c r="B2397" s="70" t="s">
        <v>47</v>
      </c>
      <c r="C2397" s="70"/>
      <c r="D2397" s="70"/>
    </row>
    <row r="2399" spans="2:4" ht="12.75">
      <c r="B2399" s="53" t="s">
        <v>0</v>
      </c>
      <c r="C2399" s="53"/>
      <c r="D2399" s="53"/>
    </row>
    <row r="2400" spans="2:4" ht="12.75">
      <c r="B2400" s="53" t="s">
        <v>30</v>
      </c>
      <c r="C2400" s="53"/>
      <c r="D2400" s="53"/>
    </row>
    <row r="2401" spans="2:4" ht="12.75">
      <c r="B2401" s="53" t="s">
        <v>131</v>
      </c>
      <c r="C2401" s="53"/>
      <c r="D2401" s="53"/>
    </row>
    <row r="2402" spans="2:4" ht="12.75">
      <c r="B2402" s="54"/>
      <c r="C2402" s="54" t="s">
        <v>3</v>
      </c>
      <c r="D2402" s="55" t="s">
        <v>4</v>
      </c>
    </row>
    <row r="2403" spans="2:4" ht="12.75">
      <c r="B2403" s="55">
        <v>1</v>
      </c>
      <c r="C2403" s="56" t="s">
        <v>5</v>
      </c>
      <c r="D2403" s="54">
        <v>2712.7</v>
      </c>
    </row>
    <row r="2404" spans="2:4" ht="12.75">
      <c r="B2404" s="55">
        <v>2</v>
      </c>
      <c r="C2404" s="55" t="s">
        <v>32</v>
      </c>
      <c r="D2404" s="54"/>
    </row>
    <row r="2405" spans="2:4" ht="12.75">
      <c r="B2405" s="54"/>
      <c r="C2405" s="54" t="s">
        <v>7</v>
      </c>
      <c r="D2405" s="59">
        <v>0</v>
      </c>
    </row>
    <row r="2406" spans="2:4" ht="12.75">
      <c r="B2406" s="54"/>
      <c r="C2406" s="54" t="s">
        <v>33</v>
      </c>
      <c r="D2406" s="59">
        <v>2354.68</v>
      </c>
    </row>
    <row r="2407" spans="2:4" ht="12.75">
      <c r="B2407" s="54"/>
      <c r="C2407" s="54" t="s">
        <v>9</v>
      </c>
      <c r="D2407" s="59">
        <f>D2406-D2405</f>
        <v>2354.68</v>
      </c>
    </row>
    <row r="2408" spans="2:4" ht="12.75">
      <c r="B2408" s="55">
        <v>3</v>
      </c>
      <c r="C2408" s="58" t="s">
        <v>6</v>
      </c>
      <c r="D2408" s="54"/>
    </row>
    <row r="2409" spans="2:4" ht="12.75">
      <c r="B2409" s="55"/>
      <c r="C2409" s="54" t="s">
        <v>7</v>
      </c>
      <c r="D2409" s="59">
        <v>502813.81</v>
      </c>
    </row>
    <row r="2410" spans="2:4" ht="12.75">
      <c r="B2410" s="55"/>
      <c r="C2410" s="54" t="s">
        <v>8</v>
      </c>
      <c r="D2410" s="59">
        <v>497576.7</v>
      </c>
    </row>
    <row r="2411" spans="2:4" ht="12.75">
      <c r="B2411" s="55"/>
      <c r="C2411" s="54" t="s">
        <v>9</v>
      </c>
      <c r="D2411" s="59">
        <f>D2410-D2409</f>
        <v>-5237.109999999986</v>
      </c>
    </row>
    <row r="2412" spans="2:4" ht="12.75">
      <c r="B2412" s="55">
        <v>4</v>
      </c>
      <c r="C2412" s="60" t="s">
        <v>10</v>
      </c>
      <c r="D2412" s="55" t="s">
        <v>11</v>
      </c>
    </row>
    <row r="2413" spans="2:4" ht="12.75">
      <c r="B2413" s="61" t="s">
        <v>14</v>
      </c>
      <c r="C2413" s="61"/>
      <c r="D2413" s="59">
        <v>67.88</v>
      </c>
    </row>
    <row r="2414" spans="2:4" ht="12.75" customHeight="1">
      <c r="B2414" s="62" t="s">
        <v>34</v>
      </c>
      <c r="C2414" s="62"/>
      <c r="D2414" s="55">
        <f>D2415+D2416+D2417</f>
        <v>295.24</v>
      </c>
    </row>
    <row r="2415" spans="2:4" ht="12.75">
      <c r="B2415" s="54"/>
      <c r="C2415" s="63" t="s">
        <v>35</v>
      </c>
      <c r="D2415" s="59">
        <v>105</v>
      </c>
    </row>
    <row r="2416" spans="2:4" ht="12.75">
      <c r="B2416" s="54"/>
      <c r="C2416" s="63" t="s">
        <v>36</v>
      </c>
      <c r="D2416" s="72">
        <v>190.24</v>
      </c>
    </row>
    <row r="2417" spans="2:4" ht="12.75">
      <c r="B2417" s="61" t="s">
        <v>37</v>
      </c>
      <c r="C2417" s="61"/>
      <c r="D2417" s="72">
        <v>0</v>
      </c>
    </row>
    <row r="2418" spans="2:4" ht="12.75" customHeight="1">
      <c r="B2418" s="65" t="s">
        <v>38</v>
      </c>
      <c r="C2418" s="65"/>
      <c r="D2418" s="66">
        <f>D2419+D2421+D2422+D2420</f>
        <v>185.98999999999998</v>
      </c>
    </row>
    <row r="2419" spans="2:4" ht="12.75">
      <c r="B2419" s="54"/>
      <c r="C2419" s="63" t="s">
        <v>15</v>
      </c>
      <c r="D2419" s="54">
        <f>105.82+21.37+9.3+13.7+2.67+0.69+18.77+2.23</f>
        <v>174.54999999999998</v>
      </c>
    </row>
    <row r="2420" spans="2:4" ht="12.75">
      <c r="B2420" s="54"/>
      <c r="C2420" s="63" t="s">
        <v>39</v>
      </c>
      <c r="D2420" s="59">
        <v>7.64</v>
      </c>
    </row>
    <row r="2421" spans="2:4" ht="12.75">
      <c r="B2421" s="54"/>
      <c r="C2421" s="67" t="s">
        <v>40</v>
      </c>
      <c r="D2421" s="59">
        <v>0</v>
      </c>
    </row>
    <row r="2422" spans="2:4" ht="12.75">
      <c r="B2422" s="54"/>
      <c r="C2422" s="63" t="s">
        <v>41</v>
      </c>
      <c r="D2422" s="59">
        <f>0.25+1.15+2.4</f>
        <v>3.8</v>
      </c>
    </row>
    <row r="2423" spans="2:4" ht="12.75">
      <c r="B2423" s="61" t="s">
        <v>19</v>
      </c>
      <c r="C2423" s="61"/>
      <c r="D2423" s="66">
        <v>14.93</v>
      </c>
    </row>
    <row r="2424" spans="2:4" ht="12.75">
      <c r="B2424" s="68" t="s">
        <v>42</v>
      </c>
      <c r="C2424" s="68"/>
      <c r="D2424" s="66">
        <f>41.5+15.63+0.68</f>
        <v>57.81</v>
      </c>
    </row>
    <row r="2425" spans="2:4" ht="12.75">
      <c r="B2425" s="54"/>
      <c r="C2425" s="40" t="s">
        <v>21</v>
      </c>
      <c r="D2425" s="66">
        <f>D2413+D2414+D2418+D2423+D2424</f>
        <v>621.8499999999999</v>
      </c>
    </row>
    <row r="2426" spans="2:4" ht="12.75">
      <c r="B2426" s="55">
        <v>5</v>
      </c>
      <c r="C2426" s="60" t="s">
        <v>9</v>
      </c>
      <c r="D2426" s="66">
        <f>D2425-D2410/1000</f>
        <v>124.27329999999989</v>
      </c>
    </row>
    <row r="2427" spans="2:4" ht="12.75">
      <c r="B2427" s="69"/>
      <c r="C2427" s="69"/>
      <c r="D2427" s="69"/>
    </row>
    <row r="2428" spans="2:4" ht="12.75">
      <c r="B2428" s="70" t="s">
        <v>47</v>
      </c>
      <c r="C2428" s="70"/>
      <c r="D2428" s="70"/>
    </row>
    <row r="2430" spans="2:4" ht="12.75">
      <c r="B2430" s="53" t="s">
        <v>0</v>
      </c>
      <c r="C2430" s="53"/>
      <c r="D2430" s="53"/>
    </row>
    <row r="2431" spans="2:4" ht="12.75">
      <c r="B2431" s="53" t="s">
        <v>30</v>
      </c>
      <c r="C2431" s="53"/>
      <c r="D2431" s="53"/>
    </row>
    <row r="2432" spans="2:4" ht="12.75">
      <c r="B2432" s="53" t="s">
        <v>132</v>
      </c>
      <c r="C2432" s="53"/>
      <c r="D2432" s="53"/>
    </row>
    <row r="2433" spans="2:4" ht="12.75">
      <c r="B2433" s="54"/>
      <c r="C2433" s="54" t="s">
        <v>3</v>
      </c>
      <c r="D2433" s="55" t="s">
        <v>4</v>
      </c>
    </row>
    <row r="2434" spans="2:4" ht="12.75">
      <c r="B2434" s="55">
        <v>1</v>
      </c>
      <c r="C2434" s="56" t="s">
        <v>5</v>
      </c>
      <c r="D2434" s="54">
        <v>2687.68</v>
      </c>
    </row>
    <row r="2435" spans="2:4" ht="12.75">
      <c r="B2435" s="55">
        <v>2</v>
      </c>
      <c r="C2435" s="55" t="s">
        <v>32</v>
      </c>
      <c r="D2435" s="54"/>
    </row>
    <row r="2436" spans="2:4" ht="12.75">
      <c r="B2436" s="55"/>
      <c r="C2436" s="54" t="s">
        <v>7</v>
      </c>
      <c r="D2436" s="54">
        <v>93568.77</v>
      </c>
    </row>
    <row r="2437" spans="2:4" ht="12.75">
      <c r="B2437" s="55"/>
      <c r="C2437" s="54" t="s">
        <v>33</v>
      </c>
      <c r="D2437" s="54">
        <v>81194.23</v>
      </c>
    </row>
    <row r="2438" spans="2:4" ht="12.75">
      <c r="B2438" s="55"/>
      <c r="C2438" s="54" t="s">
        <v>9</v>
      </c>
      <c r="D2438" s="54">
        <f>D2437-D2436</f>
        <v>-12374.540000000008</v>
      </c>
    </row>
    <row r="2439" spans="2:4" ht="12.75">
      <c r="B2439" s="55">
        <v>3</v>
      </c>
      <c r="C2439" s="58" t="s">
        <v>53</v>
      </c>
      <c r="D2439" s="54"/>
    </row>
    <row r="2440" spans="2:4" ht="12.75">
      <c r="B2440" s="55"/>
      <c r="C2440" s="54" t="s">
        <v>7</v>
      </c>
      <c r="D2440" s="59">
        <v>512070.18</v>
      </c>
    </row>
    <row r="2441" spans="2:4" ht="12.75">
      <c r="B2441" s="55"/>
      <c r="C2441" s="54" t="s">
        <v>8</v>
      </c>
      <c r="D2441" s="59">
        <v>482643.11</v>
      </c>
    </row>
    <row r="2442" spans="2:4" ht="12.75">
      <c r="B2442" s="55"/>
      <c r="C2442" s="54" t="s">
        <v>9</v>
      </c>
      <c r="D2442" s="59">
        <f>D2441-D2440</f>
        <v>-29427.070000000007</v>
      </c>
    </row>
    <row r="2443" spans="2:4" ht="12.75">
      <c r="B2443" s="55">
        <v>4</v>
      </c>
      <c r="C2443" s="60" t="s">
        <v>10</v>
      </c>
      <c r="D2443" s="55" t="s">
        <v>11</v>
      </c>
    </row>
    <row r="2444" spans="2:4" ht="12.75">
      <c r="B2444" s="61" t="s">
        <v>14</v>
      </c>
      <c r="C2444" s="61"/>
      <c r="D2444" s="59">
        <v>69.13</v>
      </c>
    </row>
    <row r="2445" spans="2:4" ht="12.75" customHeight="1">
      <c r="B2445" s="62" t="s">
        <v>34</v>
      </c>
      <c r="C2445" s="62"/>
      <c r="D2445" s="55">
        <f>D2446+D2447+D2448</f>
        <v>288.21</v>
      </c>
    </row>
    <row r="2446" spans="2:4" ht="12.75">
      <c r="B2446" s="54"/>
      <c r="C2446" s="63" t="s">
        <v>35</v>
      </c>
      <c r="D2446" s="59">
        <v>104.04</v>
      </c>
    </row>
    <row r="2447" spans="2:4" ht="12.75">
      <c r="B2447" s="54"/>
      <c r="C2447" s="63" t="s">
        <v>36</v>
      </c>
      <c r="D2447" s="72">
        <v>184.17</v>
      </c>
    </row>
    <row r="2448" spans="2:4" ht="12.75">
      <c r="B2448" s="61" t="s">
        <v>37</v>
      </c>
      <c r="C2448" s="61"/>
      <c r="D2448" s="72">
        <v>0</v>
      </c>
    </row>
    <row r="2449" spans="2:4" ht="12.75" customHeight="1">
      <c r="B2449" s="65" t="s">
        <v>38</v>
      </c>
      <c r="C2449" s="65"/>
      <c r="D2449" s="66">
        <f>D2450+D2452+D2453+D2451</f>
        <v>178.70999999999998</v>
      </c>
    </row>
    <row r="2450" spans="2:4" ht="12.75">
      <c r="B2450" s="54"/>
      <c r="C2450" s="63" t="s">
        <v>15</v>
      </c>
      <c r="D2450" s="54">
        <f>104.53+21.1+9.18+13.53+2.64+0.68+8.97+2.2</f>
        <v>162.82999999999998</v>
      </c>
    </row>
    <row r="2451" spans="2:4" ht="12.75">
      <c r="B2451" s="54"/>
      <c r="C2451" s="63" t="s">
        <v>39</v>
      </c>
      <c r="D2451" s="59">
        <v>6.23</v>
      </c>
    </row>
    <row r="2452" spans="2:4" ht="12.75">
      <c r="B2452" s="54"/>
      <c r="C2452" s="67" t="s">
        <v>40</v>
      </c>
      <c r="D2452" s="59">
        <v>1.65</v>
      </c>
    </row>
    <row r="2453" spans="2:4" ht="12.75">
      <c r="B2453" s="54"/>
      <c r="C2453" s="63" t="s">
        <v>41</v>
      </c>
      <c r="D2453" s="59">
        <f>0.27+1.14+6.59</f>
        <v>8</v>
      </c>
    </row>
    <row r="2454" spans="2:4" ht="12.75">
      <c r="B2454" s="61" t="s">
        <v>19</v>
      </c>
      <c r="C2454" s="61"/>
      <c r="D2454" s="66">
        <v>14.48</v>
      </c>
    </row>
    <row r="2455" spans="2:4" ht="12.75">
      <c r="B2455" s="68" t="s">
        <v>42</v>
      </c>
      <c r="C2455" s="68"/>
      <c r="D2455" s="66">
        <f>41.12+15.5+0.67</f>
        <v>57.29</v>
      </c>
    </row>
    <row r="2456" spans="2:4" ht="12.75">
      <c r="B2456" s="68" t="s">
        <v>54</v>
      </c>
      <c r="C2456" s="68"/>
      <c r="D2456" s="66">
        <v>16.55</v>
      </c>
    </row>
    <row r="2457" spans="2:4" ht="12.75">
      <c r="B2457" s="54"/>
      <c r="C2457" s="40" t="s">
        <v>21</v>
      </c>
      <c r="D2457" s="66">
        <f>D2444+D2445+D2449+D2454+D2455+D2456</f>
        <v>624.3699999999999</v>
      </c>
    </row>
    <row r="2458" spans="2:4" ht="12.75">
      <c r="B2458" s="55">
        <v>5</v>
      </c>
      <c r="C2458" s="60" t="s">
        <v>9</v>
      </c>
      <c r="D2458" s="66">
        <f>D2457-D2441/1000</f>
        <v>141.7268899999999</v>
      </c>
    </row>
    <row r="2459" spans="2:4" ht="12.75">
      <c r="B2459" s="69"/>
      <c r="C2459" s="69"/>
      <c r="D2459" s="69"/>
    </row>
    <row r="2460" spans="2:4" ht="12.75">
      <c r="B2460" s="70" t="s">
        <v>47</v>
      </c>
      <c r="C2460" s="70"/>
      <c r="D2460" s="70"/>
    </row>
    <row r="2462" spans="2:4" ht="12.75">
      <c r="B2462" s="53" t="s">
        <v>0</v>
      </c>
      <c r="C2462" s="53"/>
      <c r="D2462" s="53"/>
    </row>
    <row r="2463" spans="2:4" ht="12.75">
      <c r="B2463" s="53" t="s">
        <v>30</v>
      </c>
      <c r="C2463" s="53"/>
      <c r="D2463" s="53"/>
    </row>
    <row r="2464" spans="2:4" ht="12.75">
      <c r="B2464" s="53" t="s">
        <v>133</v>
      </c>
      <c r="C2464" s="53"/>
      <c r="D2464" s="53"/>
    </row>
    <row r="2465" spans="2:4" ht="12.75">
      <c r="B2465" s="54"/>
      <c r="C2465" s="54" t="s">
        <v>3</v>
      </c>
      <c r="D2465" s="55" t="s">
        <v>4</v>
      </c>
    </row>
    <row r="2466" spans="2:4" ht="12.75">
      <c r="B2466" s="55">
        <v>1</v>
      </c>
      <c r="C2466" s="56" t="s">
        <v>5</v>
      </c>
      <c r="D2466" s="54">
        <v>1445.8</v>
      </c>
    </row>
    <row r="2467" spans="2:4" ht="12.75">
      <c r="B2467" s="55">
        <v>2</v>
      </c>
      <c r="C2467" s="55" t="s">
        <v>32</v>
      </c>
      <c r="D2467" s="54"/>
    </row>
    <row r="2468" spans="2:4" ht="12.75">
      <c r="B2468" s="54"/>
      <c r="C2468" s="54" t="s">
        <v>7</v>
      </c>
      <c r="D2468" s="59">
        <v>0</v>
      </c>
    </row>
    <row r="2469" spans="2:4" ht="12.75">
      <c r="B2469" s="54"/>
      <c r="C2469" s="54" t="s">
        <v>33</v>
      </c>
      <c r="D2469" s="59">
        <v>5893.3</v>
      </c>
    </row>
    <row r="2470" spans="2:4" ht="12.75">
      <c r="B2470" s="54"/>
      <c r="C2470" s="54" t="s">
        <v>9</v>
      </c>
      <c r="D2470" s="59">
        <f>D2469-D2468</f>
        <v>5893.3</v>
      </c>
    </row>
    <row r="2471" spans="2:4" ht="12.75">
      <c r="B2471" s="55">
        <v>3</v>
      </c>
      <c r="C2471" s="58" t="s">
        <v>6</v>
      </c>
      <c r="D2471" s="54"/>
    </row>
    <row r="2472" spans="2:4" ht="12.75">
      <c r="B2472" s="55"/>
      <c r="C2472" s="54" t="s">
        <v>7</v>
      </c>
      <c r="D2472" s="59">
        <v>266664.54</v>
      </c>
    </row>
    <row r="2473" spans="2:4" ht="12.75">
      <c r="B2473" s="55"/>
      <c r="C2473" s="54" t="s">
        <v>8</v>
      </c>
      <c r="D2473" s="59">
        <v>269589.47</v>
      </c>
    </row>
    <row r="2474" spans="2:4" ht="12.75">
      <c r="B2474" s="55"/>
      <c r="C2474" s="54" t="s">
        <v>9</v>
      </c>
      <c r="D2474" s="59">
        <f>D2473-D2472</f>
        <v>2924.929999999993</v>
      </c>
    </row>
    <row r="2475" spans="2:4" ht="12.75">
      <c r="B2475" s="55">
        <v>4</v>
      </c>
      <c r="C2475" s="60" t="s">
        <v>10</v>
      </c>
      <c r="D2475" s="55" t="s">
        <v>11</v>
      </c>
    </row>
    <row r="2476" spans="2:4" ht="12.75">
      <c r="B2476" s="61" t="s">
        <v>14</v>
      </c>
      <c r="C2476" s="61"/>
      <c r="D2476" s="59">
        <v>36</v>
      </c>
    </row>
    <row r="2477" spans="2:4" ht="12.75" customHeight="1">
      <c r="B2477" s="62" t="s">
        <v>34</v>
      </c>
      <c r="C2477" s="62"/>
      <c r="D2477" s="55">
        <f>D2478+D2479+D2480</f>
        <v>110.07000000000001</v>
      </c>
    </row>
    <row r="2478" spans="2:4" ht="12.75">
      <c r="B2478" s="54"/>
      <c r="C2478" s="63" t="s">
        <v>35</v>
      </c>
      <c r="D2478" s="59">
        <v>56</v>
      </c>
    </row>
    <row r="2479" spans="2:4" ht="12.75">
      <c r="B2479" s="54"/>
      <c r="C2479" s="63" t="s">
        <v>36</v>
      </c>
      <c r="D2479" s="72">
        <v>49.27</v>
      </c>
    </row>
    <row r="2480" spans="2:4" ht="12.75">
      <c r="B2480" s="61" t="s">
        <v>37</v>
      </c>
      <c r="C2480" s="61"/>
      <c r="D2480" s="72">
        <v>4.8</v>
      </c>
    </row>
    <row r="2481" spans="2:4" ht="12.75" customHeight="1">
      <c r="B2481" s="65" t="s">
        <v>38</v>
      </c>
      <c r="C2481" s="65"/>
      <c r="D2481" s="66">
        <f>D2482+D2484+D2485+D2483</f>
        <v>102.41000000000001</v>
      </c>
    </row>
    <row r="2482" spans="2:4" ht="12.75">
      <c r="B2482" s="54"/>
      <c r="C2482" s="63" t="s">
        <v>15</v>
      </c>
      <c r="D2482" s="54">
        <f>64.66+13.06+5.68+8.37+1.42+0.37+3.86+1.17</f>
        <v>98.59000000000002</v>
      </c>
    </row>
    <row r="2483" spans="2:4" ht="12.75">
      <c r="B2483" s="54"/>
      <c r="C2483" s="63" t="s">
        <v>39</v>
      </c>
      <c r="D2483" s="59">
        <v>3.08</v>
      </c>
    </row>
    <row r="2484" spans="2:4" ht="12.75">
      <c r="B2484" s="54"/>
      <c r="C2484" s="67" t="s">
        <v>40</v>
      </c>
      <c r="D2484" s="59">
        <v>0</v>
      </c>
    </row>
    <row r="2485" spans="2:4" ht="12.75">
      <c r="B2485" s="54"/>
      <c r="C2485" s="63" t="s">
        <v>41</v>
      </c>
      <c r="D2485" s="59">
        <f>0.13+0.61</f>
        <v>0.74</v>
      </c>
    </row>
    <row r="2486" spans="2:4" ht="12.75">
      <c r="B2486" s="61" t="s">
        <v>19</v>
      </c>
      <c r="C2486" s="61"/>
      <c r="D2486" s="66">
        <v>8.05</v>
      </c>
    </row>
    <row r="2487" spans="2:4" ht="12.75">
      <c r="B2487" s="68" t="s">
        <v>42</v>
      </c>
      <c r="C2487" s="68"/>
      <c r="D2487" s="66">
        <f>22.12+8.36+0.36</f>
        <v>30.84</v>
      </c>
    </row>
    <row r="2488" spans="2:4" ht="12.75">
      <c r="B2488" s="54"/>
      <c r="C2488" s="40" t="s">
        <v>21</v>
      </c>
      <c r="D2488" s="66">
        <f>D2476+D2477+D2481+D2486+D2487</f>
        <v>287.37</v>
      </c>
    </row>
    <row r="2489" spans="2:4" ht="12.75">
      <c r="B2489" s="55">
        <v>5</v>
      </c>
      <c r="C2489" s="60" t="s">
        <v>9</v>
      </c>
      <c r="D2489" s="66">
        <f>D2488-D2473/1000</f>
        <v>17.780530000000056</v>
      </c>
    </row>
    <row r="2490" spans="2:4" ht="12.75">
      <c r="B2490" s="69"/>
      <c r="C2490" s="69"/>
      <c r="D2490" s="69"/>
    </row>
    <row r="2491" spans="2:4" ht="12.75">
      <c r="B2491" s="70" t="s">
        <v>47</v>
      </c>
      <c r="C2491" s="70"/>
      <c r="D2491" s="70"/>
    </row>
    <row r="2493" spans="2:4" ht="12.75">
      <c r="B2493" s="53" t="s">
        <v>0</v>
      </c>
      <c r="C2493" s="53"/>
      <c r="D2493" s="53"/>
    </row>
    <row r="2494" spans="2:4" ht="12.75">
      <c r="B2494" s="53" t="s">
        <v>30</v>
      </c>
      <c r="C2494" s="53"/>
      <c r="D2494" s="53"/>
    </row>
    <row r="2495" spans="2:4" ht="12.75">
      <c r="B2495" s="53" t="s">
        <v>134</v>
      </c>
      <c r="C2495" s="53"/>
      <c r="D2495" s="53"/>
    </row>
    <row r="2496" spans="2:4" ht="12.75">
      <c r="B2496" s="54"/>
      <c r="C2496" s="54" t="s">
        <v>3</v>
      </c>
      <c r="D2496" s="55" t="s">
        <v>4</v>
      </c>
    </row>
    <row r="2497" spans="2:4" ht="12.75">
      <c r="B2497" s="55">
        <v>1</v>
      </c>
      <c r="C2497" s="56" t="s">
        <v>5</v>
      </c>
      <c r="D2497" s="54">
        <v>3547.67</v>
      </c>
    </row>
    <row r="2498" spans="2:4" ht="12.75">
      <c r="B2498" s="55">
        <v>2</v>
      </c>
      <c r="C2498" s="55" t="s">
        <v>32</v>
      </c>
      <c r="D2498" s="54"/>
    </row>
    <row r="2499" spans="2:4" ht="12.75">
      <c r="B2499" s="54"/>
      <c r="C2499" s="54" t="s">
        <v>7</v>
      </c>
      <c r="D2499" s="59">
        <v>0</v>
      </c>
    </row>
    <row r="2500" spans="2:4" ht="12.75">
      <c r="B2500" s="54"/>
      <c r="C2500" s="54" t="s">
        <v>33</v>
      </c>
      <c r="D2500" s="59">
        <v>2398.97</v>
      </c>
    </row>
    <row r="2501" spans="2:4" ht="12.75">
      <c r="B2501" s="54"/>
      <c r="C2501" s="54" t="s">
        <v>9</v>
      </c>
      <c r="D2501" s="59">
        <f>D2500-D2499</f>
        <v>2398.97</v>
      </c>
    </row>
    <row r="2502" spans="2:4" ht="12.75">
      <c r="B2502" s="55">
        <v>3</v>
      </c>
      <c r="C2502" s="58" t="s">
        <v>6</v>
      </c>
      <c r="D2502" s="54"/>
    </row>
    <row r="2503" spans="2:4" ht="12.75">
      <c r="B2503" s="55"/>
      <c r="C2503" s="54" t="s">
        <v>7</v>
      </c>
      <c r="D2503" s="59">
        <v>655230.79</v>
      </c>
    </row>
    <row r="2504" spans="2:4" ht="12.75">
      <c r="B2504" s="55"/>
      <c r="C2504" s="54" t="s">
        <v>8</v>
      </c>
      <c r="D2504" s="59">
        <v>684708.57</v>
      </c>
    </row>
    <row r="2505" spans="2:4" ht="12.75">
      <c r="B2505" s="55"/>
      <c r="C2505" s="54" t="s">
        <v>9</v>
      </c>
      <c r="D2505" s="59">
        <f>D2504-D2503</f>
        <v>29477.77999999991</v>
      </c>
    </row>
    <row r="2506" spans="2:4" ht="12.75">
      <c r="B2506" s="55">
        <v>4</v>
      </c>
      <c r="C2506" s="60" t="s">
        <v>10</v>
      </c>
      <c r="D2506" s="55" t="s">
        <v>11</v>
      </c>
    </row>
    <row r="2507" spans="2:4" ht="12.75">
      <c r="B2507" s="61" t="s">
        <v>14</v>
      </c>
      <c r="C2507" s="61"/>
      <c r="D2507" s="59">
        <v>88.46</v>
      </c>
    </row>
    <row r="2508" spans="2:4" ht="12.75" customHeight="1">
      <c r="B2508" s="62" t="s">
        <v>34</v>
      </c>
      <c r="C2508" s="62"/>
      <c r="D2508" s="55">
        <f>D2509+D2510+D2511</f>
        <v>276.84000000000003</v>
      </c>
    </row>
    <row r="2509" spans="2:4" ht="12.75">
      <c r="B2509" s="54"/>
      <c r="C2509" s="63" t="s">
        <v>35</v>
      </c>
      <c r="D2509" s="59">
        <v>137.32</v>
      </c>
    </row>
    <row r="2510" spans="2:4" ht="12.75">
      <c r="B2510" s="54"/>
      <c r="C2510" s="63" t="s">
        <v>36</v>
      </c>
      <c r="D2510" s="72">
        <v>135.92</v>
      </c>
    </row>
    <row r="2511" spans="2:4" ht="12.75">
      <c r="B2511" s="61" t="s">
        <v>37</v>
      </c>
      <c r="C2511" s="61"/>
      <c r="D2511" s="72">
        <v>3.6</v>
      </c>
    </row>
    <row r="2512" spans="2:4" ht="12.75" customHeight="1">
      <c r="B2512" s="65" t="s">
        <v>38</v>
      </c>
      <c r="C2512" s="65"/>
      <c r="D2512" s="66">
        <f>D2513+D2515+D2516+D2514</f>
        <v>222.60000000000005</v>
      </c>
    </row>
    <row r="2513" spans="2:4" ht="12.75">
      <c r="B2513" s="54"/>
      <c r="C2513" s="63" t="s">
        <v>15</v>
      </c>
      <c r="D2513" s="54">
        <f>143.21+28.93+12.58+18.54+0.4+3.49+0.9+4.4+2.92</f>
        <v>215.37000000000003</v>
      </c>
    </row>
    <row r="2514" spans="2:4" ht="12.75">
      <c r="B2514" s="54"/>
      <c r="C2514" s="63" t="s">
        <v>39</v>
      </c>
      <c r="D2514" s="59">
        <v>5.4</v>
      </c>
    </row>
    <row r="2515" spans="2:4" ht="12.75">
      <c r="B2515" s="54"/>
      <c r="C2515" s="67" t="s">
        <v>40</v>
      </c>
      <c r="D2515" s="59">
        <v>0</v>
      </c>
    </row>
    <row r="2516" spans="2:4" ht="12.75">
      <c r="B2516" s="54"/>
      <c r="C2516" s="63" t="s">
        <v>41</v>
      </c>
      <c r="D2516" s="59">
        <f>0.33+1.5</f>
        <v>1.83</v>
      </c>
    </row>
    <row r="2517" spans="2:4" ht="12.75">
      <c r="B2517" s="61" t="s">
        <v>19</v>
      </c>
      <c r="C2517" s="61"/>
      <c r="D2517" s="66">
        <v>20.54</v>
      </c>
    </row>
    <row r="2518" spans="2:4" ht="12.75">
      <c r="B2518" s="68" t="s">
        <v>42</v>
      </c>
      <c r="C2518" s="68"/>
      <c r="D2518" s="66">
        <f>54.28+20.45+0.66</f>
        <v>75.39</v>
      </c>
    </row>
    <row r="2519" spans="2:4" ht="12.75">
      <c r="B2519" s="54"/>
      <c r="C2519" s="40" t="s">
        <v>21</v>
      </c>
      <c r="D2519" s="66">
        <f>D2507+D2508+D2512+D2517+D2518</f>
        <v>683.83</v>
      </c>
    </row>
    <row r="2520" spans="2:4" ht="12.75">
      <c r="B2520" s="55">
        <v>5</v>
      </c>
      <c r="C2520" s="60" t="s">
        <v>9</v>
      </c>
      <c r="D2520" s="66">
        <f>D2519-D2504/1000</f>
        <v>-0.8785699999998542</v>
      </c>
    </row>
    <row r="2521" spans="2:4" ht="12.75">
      <c r="B2521" s="69"/>
      <c r="C2521" s="69"/>
      <c r="D2521" s="69"/>
    </row>
    <row r="2522" spans="2:4" ht="12.75">
      <c r="B2522" s="70" t="s">
        <v>47</v>
      </c>
      <c r="C2522" s="70"/>
      <c r="D2522" s="70"/>
    </row>
    <row r="2524" spans="2:4" ht="12.75">
      <c r="B2524" s="53" t="s">
        <v>0</v>
      </c>
      <c r="C2524" s="53"/>
      <c r="D2524" s="53"/>
    </row>
    <row r="2525" spans="2:4" ht="12.75">
      <c r="B2525" s="53" t="s">
        <v>30</v>
      </c>
      <c r="C2525" s="53"/>
      <c r="D2525" s="53"/>
    </row>
    <row r="2526" spans="2:4" ht="12.75">
      <c r="B2526" s="53" t="s">
        <v>135</v>
      </c>
      <c r="C2526" s="53"/>
      <c r="D2526" s="53"/>
    </row>
    <row r="2527" spans="2:4" ht="12.75">
      <c r="B2527" s="54"/>
      <c r="C2527" s="54" t="s">
        <v>3</v>
      </c>
      <c r="D2527" s="55" t="s">
        <v>4</v>
      </c>
    </row>
    <row r="2528" spans="2:4" ht="12.75">
      <c r="B2528" s="55">
        <v>1</v>
      </c>
      <c r="C2528" s="56" t="s">
        <v>5</v>
      </c>
      <c r="D2528" s="54">
        <v>871.4</v>
      </c>
    </row>
    <row r="2529" spans="2:4" ht="12.75">
      <c r="B2529" s="55">
        <v>2</v>
      </c>
      <c r="C2529" s="55" t="s">
        <v>32</v>
      </c>
      <c r="D2529" s="54"/>
    </row>
    <row r="2530" spans="2:4" ht="12.75">
      <c r="B2530" s="54"/>
      <c r="C2530" s="54" t="s">
        <v>7</v>
      </c>
      <c r="D2530" s="59">
        <v>0</v>
      </c>
    </row>
    <row r="2531" spans="2:4" ht="12.75">
      <c r="B2531" s="54"/>
      <c r="C2531" s="54" t="s">
        <v>33</v>
      </c>
      <c r="D2531" s="59">
        <v>142.06</v>
      </c>
    </row>
    <row r="2532" spans="2:4" ht="12.75">
      <c r="B2532" s="54"/>
      <c r="C2532" s="54" t="s">
        <v>9</v>
      </c>
      <c r="D2532" s="59">
        <f>D2531-D2530</f>
        <v>142.06</v>
      </c>
    </row>
    <row r="2533" spans="2:4" ht="12.75">
      <c r="B2533" s="55">
        <v>3</v>
      </c>
      <c r="C2533" s="58" t="s">
        <v>6</v>
      </c>
      <c r="D2533" s="54"/>
    </row>
    <row r="2534" spans="2:4" ht="12.75">
      <c r="B2534" s="55"/>
      <c r="C2534" s="54" t="s">
        <v>7</v>
      </c>
      <c r="D2534" s="59">
        <v>160635.18</v>
      </c>
    </row>
    <row r="2535" spans="2:4" ht="12.75">
      <c r="B2535" s="55"/>
      <c r="C2535" s="54" t="s">
        <v>8</v>
      </c>
      <c r="D2535" s="59">
        <v>160025.14</v>
      </c>
    </row>
    <row r="2536" spans="2:4" ht="12.75">
      <c r="B2536" s="55"/>
      <c r="C2536" s="54" t="s">
        <v>9</v>
      </c>
      <c r="D2536" s="59">
        <f>D2535-D2534</f>
        <v>-610.039999999979</v>
      </c>
    </row>
    <row r="2537" spans="2:4" ht="12.75">
      <c r="B2537" s="55">
        <v>4</v>
      </c>
      <c r="C2537" s="60" t="s">
        <v>10</v>
      </c>
      <c r="D2537" s="55" t="s">
        <v>11</v>
      </c>
    </row>
    <row r="2538" spans="2:4" ht="12.75">
      <c r="B2538" s="61" t="s">
        <v>14</v>
      </c>
      <c r="C2538" s="61"/>
      <c r="D2538" s="59">
        <v>21.69</v>
      </c>
    </row>
    <row r="2539" spans="2:4" ht="12.75" customHeight="1">
      <c r="B2539" s="62" t="s">
        <v>34</v>
      </c>
      <c r="C2539" s="62"/>
      <c r="D2539" s="55">
        <f>D2540+D2541+D2542</f>
        <v>60.48</v>
      </c>
    </row>
    <row r="2540" spans="2:4" ht="12.75">
      <c r="B2540" s="54"/>
      <c r="C2540" s="63" t="s">
        <v>35</v>
      </c>
      <c r="D2540" s="59">
        <v>33.73</v>
      </c>
    </row>
    <row r="2541" spans="2:4" ht="12.75">
      <c r="B2541" s="54"/>
      <c r="C2541" s="63" t="s">
        <v>36</v>
      </c>
      <c r="D2541" s="72">
        <v>26.75</v>
      </c>
    </row>
    <row r="2542" spans="2:4" ht="12.75">
      <c r="B2542" s="61" t="s">
        <v>37</v>
      </c>
      <c r="C2542" s="61"/>
      <c r="D2542" s="72">
        <v>0</v>
      </c>
    </row>
    <row r="2543" spans="2:4" ht="12.75" customHeight="1">
      <c r="B2543" s="65" t="s">
        <v>38</v>
      </c>
      <c r="C2543" s="65"/>
      <c r="D2543" s="66">
        <f>D2544+D2546+D2547+D2545</f>
        <v>69.28999999999999</v>
      </c>
    </row>
    <row r="2544" spans="2:4" ht="12.75">
      <c r="B2544" s="54"/>
      <c r="C2544" s="63" t="s">
        <v>15</v>
      </c>
      <c r="D2544" s="54">
        <f>40.95+8.27+3.6+5.3+0.86+0.22+6.9+0.72</f>
        <v>66.82</v>
      </c>
    </row>
    <row r="2545" spans="2:4" ht="12.75">
      <c r="B2545" s="54"/>
      <c r="C2545" s="63" t="s">
        <v>39</v>
      </c>
      <c r="D2545" s="59">
        <v>2.02</v>
      </c>
    </row>
    <row r="2546" spans="2:4" ht="12.75">
      <c r="B2546" s="54"/>
      <c r="C2546" s="67" t="s">
        <v>40</v>
      </c>
      <c r="D2546" s="59">
        <v>0</v>
      </c>
    </row>
    <row r="2547" spans="2:4" ht="12.75">
      <c r="B2547" s="54"/>
      <c r="C2547" s="63" t="s">
        <v>41</v>
      </c>
      <c r="D2547" s="59">
        <f>0.08+0.37</f>
        <v>0.45</v>
      </c>
    </row>
    <row r="2548" spans="2:4" ht="12.75">
      <c r="B2548" s="61" t="s">
        <v>19</v>
      </c>
      <c r="C2548" s="61"/>
      <c r="D2548" s="66">
        <v>4.8</v>
      </c>
    </row>
    <row r="2549" spans="2:4" ht="12.75">
      <c r="B2549" s="68" t="s">
        <v>42</v>
      </c>
      <c r="C2549" s="68"/>
      <c r="D2549" s="66">
        <f>13.33+5.02+0.21</f>
        <v>18.560000000000002</v>
      </c>
    </row>
    <row r="2550" spans="2:4" ht="12.75">
      <c r="B2550" s="54"/>
      <c r="C2550" s="40" t="s">
        <v>21</v>
      </c>
      <c r="D2550" s="66">
        <f>D2538+D2539+D2543+D2548+D2549</f>
        <v>174.82</v>
      </c>
    </row>
    <row r="2551" spans="2:4" ht="12.75">
      <c r="B2551" s="55">
        <v>5</v>
      </c>
      <c r="C2551" s="60" t="s">
        <v>9</v>
      </c>
      <c r="D2551" s="66">
        <f>D2550-D2535/1000</f>
        <v>14.794859999999971</v>
      </c>
    </row>
    <row r="2552" spans="2:4" ht="12.75">
      <c r="B2552" s="69"/>
      <c r="C2552" s="69"/>
      <c r="D2552" s="69"/>
    </row>
    <row r="2553" spans="2:4" ht="12.75">
      <c r="B2553" s="70" t="s">
        <v>47</v>
      </c>
      <c r="C2553" s="70"/>
      <c r="D2553" s="70"/>
    </row>
    <row r="2555" spans="2:4" ht="12.75">
      <c r="B2555" s="53" t="s">
        <v>0</v>
      </c>
      <c r="C2555" s="53"/>
      <c r="D2555" s="53"/>
    </row>
    <row r="2556" spans="2:4" ht="12.75">
      <c r="B2556" s="53" t="s">
        <v>30</v>
      </c>
      <c r="C2556" s="53"/>
      <c r="D2556" s="53"/>
    </row>
    <row r="2557" spans="2:4" ht="12.75">
      <c r="B2557" s="53" t="s">
        <v>136</v>
      </c>
      <c r="C2557" s="53"/>
      <c r="D2557" s="53"/>
    </row>
    <row r="2558" spans="2:4" ht="12.75">
      <c r="B2558" s="54"/>
      <c r="C2558" s="54" t="s">
        <v>3</v>
      </c>
      <c r="D2558" s="55" t="s">
        <v>4</v>
      </c>
    </row>
    <row r="2559" spans="2:4" ht="12.75">
      <c r="B2559" s="55">
        <v>1</v>
      </c>
      <c r="C2559" s="56" t="s">
        <v>5</v>
      </c>
      <c r="D2559" s="54">
        <v>3519.9</v>
      </c>
    </row>
    <row r="2560" spans="2:4" ht="12.75">
      <c r="B2560" s="55">
        <v>2</v>
      </c>
      <c r="C2560" s="58" t="s">
        <v>53</v>
      </c>
      <c r="D2560" s="54"/>
    </row>
    <row r="2561" spans="2:4" ht="12.75">
      <c r="B2561" s="55"/>
      <c r="C2561" s="54" t="s">
        <v>7</v>
      </c>
      <c r="D2561" s="59">
        <v>667524.61</v>
      </c>
    </row>
    <row r="2562" spans="2:4" ht="12.75">
      <c r="B2562" s="55"/>
      <c r="C2562" s="54" t="s">
        <v>8</v>
      </c>
      <c r="D2562" s="59">
        <v>656020.37</v>
      </c>
    </row>
    <row r="2563" spans="2:4" ht="12.75">
      <c r="B2563" s="55"/>
      <c r="C2563" s="54" t="s">
        <v>9</v>
      </c>
      <c r="D2563" s="59">
        <f>D2562-D2561</f>
        <v>-11504.23999999999</v>
      </c>
    </row>
    <row r="2564" spans="2:4" ht="12.75">
      <c r="B2564" s="55">
        <v>3</v>
      </c>
      <c r="C2564" s="60" t="s">
        <v>10</v>
      </c>
      <c r="D2564" s="55" t="s">
        <v>11</v>
      </c>
    </row>
    <row r="2565" spans="2:4" ht="12.75">
      <c r="B2565" s="61" t="s">
        <v>14</v>
      </c>
      <c r="C2565" s="61"/>
      <c r="D2565" s="59">
        <v>90.11</v>
      </c>
    </row>
    <row r="2566" spans="2:4" ht="12.75" customHeight="1">
      <c r="B2566" s="62" t="s">
        <v>34</v>
      </c>
      <c r="C2566" s="62"/>
      <c r="D2566" s="55">
        <f>D2567+D2568+D2569</f>
        <v>218.45</v>
      </c>
    </row>
    <row r="2567" spans="2:4" ht="12.75">
      <c r="B2567" s="54"/>
      <c r="C2567" s="63" t="s">
        <v>35</v>
      </c>
      <c r="D2567" s="59">
        <v>136.25</v>
      </c>
    </row>
    <row r="2568" spans="2:4" ht="12.75">
      <c r="B2568" s="54"/>
      <c r="C2568" s="63" t="s">
        <v>36</v>
      </c>
      <c r="D2568" s="72">
        <v>82.2</v>
      </c>
    </row>
    <row r="2569" spans="2:4" ht="12.75">
      <c r="B2569" s="61" t="s">
        <v>37</v>
      </c>
      <c r="C2569" s="61"/>
      <c r="D2569" s="72">
        <v>0</v>
      </c>
    </row>
    <row r="2570" spans="2:4" ht="12.75" customHeight="1">
      <c r="B2570" s="65" t="s">
        <v>38</v>
      </c>
      <c r="C2570" s="65"/>
      <c r="D2570" s="66">
        <f>D2571+D2573+D2574+D2572</f>
        <v>242.90000000000003</v>
      </c>
    </row>
    <row r="2571" spans="2:4" ht="12.75">
      <c r="B2571" s="54"/>
      <c r="C2571" s="63" t="s">
        <v>15</v>
      </c>
      <c r="D2571" s="54">
        <f>152.94+30.9+13.44+19.8+3.46+0.9+6.51+2.9</f>
        <v>230.85000000000002</v>
      </c>
    </row>
    <row r="2572" spans="2:4" ht="12.75">
      <c r="B2572" s="54"/>
      <c r="C2572" s="63" t="s">
        <v>39</v>
      </c>
      <c r="D2572" s="59">
        <v>8.84</v>
      </c>
    </row>
    <row r="2573" spans="2:4" ht="12.75">
      <c r="B2573" s="54"/>
      <c r="C2573" s="67" t="s">
        <v>40</v>
      </c>
      <c r="D2573" s="59">
        <v>0</v>
      </c>
    </row>
    <row r="2574" spans="2:4" ht="12.75">
      <c r="B2574" s="54"/>
      <c r="C2574" s="63" t="s">
        <v>41</v>
      </c>
      <c r="D2574" s="59">
        <f>0.32+1.49+1.4</f>
        <v>3.21</v>
      </c>
    </row>
    <row r="2575" spans="2:4" ht="12.75">
      <c r="B2575" s="61" t="s">
        <v>19</v>
      </c>
      <c r="C2575" s="61"/>
      <c r="D2575" s="66">
        <v>19.68</v>
      </c>
    </row>
    <row r="2576" spans="2:4" ht="12.75">
      <c r="B2576" s="68" t="s">
        <v>42</v>
      </c>
      <c r="C2576" s="68"/>
      <c r="D2576" s="66">
        <f>53.85+20.3+0.66</f>
        <v>74.81</v>
      </c>
    </row>
    <row r="2577" spans="2:4" ht="12.75">
      <c r="B2577" s="68" t="s">
        <v>54</v>
      </c>
      <c r="C2577" s="68"/>
      <c r="D2577" s="66">
        <v>16.55</v>
      </c>
    </row>
    <row r="2578" spans="2:4" ht="12.75">
      <c r="B2578" s="54"/>
      <c r="C2578" s="40" t="s">
        <v>21</v>
      </c>
      <c r="D2578" s="66">
        <f>D2565+D2566+D2570+D2575+D2576+D2577</f>
        <v>662.5</v>
      </c>
    </row>
    <row r="2579" spans="2:4" ht="12.75">
      <c r="B2579" s="55">
        <v>4</v>
      </c>
      <c r="C2579" s="60" t="s">
        <v>9</v>
      </c>
      <c r="D2579" s="66">
        <f>D2578-D2562/1000</f>
        <v>6.479630000000043</v>
      </c>
    </row>
    <row r="2580" spans="2:4" ht="12.75">
      <c r="B2580" s="69"/>
      <c r="C2580" s="69"/>
      <c r="D2580" s="69"/>
    </row>
    <row r="2581" spans="2:4" ht="12.75">
      <c r="B2581" s="70" t="s">
        <v>47</v>
      </c>
      <c r="C2581" s="70"/>
      <c r="D2581" s="70"/>
    </row>
    <row r="2583" spans="2:4" ht="12.75">
      <c r="B2583" s="53" t="s">
        <v>0</v>
      </c>
      <c r="C2583" s="53"/>
      <c r="D2583" s="53"/>
    </row>
    <row r="2584" spans="2:4" ht="12.75">
      <c r="B2584" s="53" t="s">
        <v>30</v>
      </c>
      <c r="C2584" s="53"/>
      <c r="D2584" s="53"/>
    </row>
    <row r="2585" spans="2:4" ht="12.75">
      <c r="B2585" s="53" t="s">
        <v>137</v>
      </c>
      <c r="C2585" s="53"/>
      <c r="D2585" s="53"/>
    </row>
    <row r="2586" spans="2:4" ht="12.75">
      <c r="B2586" s="54"/>
      <c r="C2586" s="54" t="s">
        <v>3</v>
      </c>
      <c r="D2586" s="55" t="s">
        <v>4</v>
      </c>
    </row>
    <row r="2587" spans="2:4" ht="12.75">
      <c r="B2587" s="55">
        <v>1</v>
      </c>
      <c r="C2587" s="56" t="s">
        <v>5</v>
      </c>
      <c r="D2587" s="54">
        <v>370.2</v>
      </c>
    </row>
    <row r="2588" spans="2:4" ht="12.75">
      <c r="B2588" s="55">
        <v>2</v>
      </c>
      <c r="C2588" s="55" t="s">
        <v>32</v>
      </c>
      <c r="D2588" s="54"/>
    </row>
    <row r="2589" spans="2:4" ht="12.75">
      <c r="B2589" s="54"/>
      <c r="C2589" s="54" t="s">
        <v>7</v>
      </c>
      <c r="D2589" s="59">
        <v>0</v>
      </c>
    </row>
    <row r="2590" spans="2:4" ht="12.75">
      <c r="B2590" s="54"/>
      <c r="C2590" s="54" t="s">
        <v>33</v>
      </c>
      <c r="D2590" s="59">
        <v>3092.86</v>
      </c>
    </row>
    <row r="2591" spans="2:4" ht="12.75">
      <c r="B2591" s="54"/>
      <c r="C2591" s="54" t="s">
        <v>9</v>
      </c>
      <c r="D2591" s="59">
        <f>D2590-D2589</f>
        <v>3092.86</v>
      </c>
    </row>
    <row r="2592" spans="2:4" ht="12.75">
      <c r="B2592" s="55">
        <v>3</v>
      </c>
      <c r="C2592" s="58" t="s">
        <v>6</v>
      </c>
      <c r="D2592" s="54"/>
    </row>
    <row r="2593" spans="2:4" ht="12.75">
      <c r="B2593" s="55"/>
      <c r="C2593" s="54" t="s">
        <v>7</v>
      </c>
      <c r="D2593" s="59">
        <v>68413.38</v>
      </c>
    </row>
    <row r="2594" spans="2:4" ht="12.75">
      <c r="B2594" s="55"/>
      <c r="C2594" s="54" t="s">
        <v>8</v>
      </c>
      <c r="D2594" s="59">
        <v>65356.8</v>
      </c>
    </row>
    <row r="2595" spans="2:4" ht="12.75">
      <c r="B2595" s="55"/>
      <c r="C2595" s="54" t="s">
        <v>9</v>
      </c>
      <c r="D2595" s="59">
        <f>D2594-D2593</f>
        <v>-3056.5800000000017</v>
      </c>
    </row>
    <row r="2596" spans="2:4" ht="12.75">
      <c r="B2596" s="55">
        <v>4</v>
      </c>
      <c r="C2596" s="60" t="s">
        <v>10</v>
      </c>
      <c r="D2596" s="55" t="s">
        <v>11</v>
      </c>
    </row>
    <row r="2597" spans="2:4" ht="12.75">
      <c r="B2597" s="61" t="s">
        <v>14</v>
      </c>
      <c r="C2597" s="61"/>
      <c r="D2597" s="59">
        <v>9.24</v>
      </c>
    </row>
    <row r="2598" spans="2:4" ht="12.75" customHeight="1">
      <c r="B2598" s="62" t="s">
        <v>34</v>
      </c>
      <c r="C2598" s="62"/>
      <c r="D2598" s="55">
        <f>D2599+D2600+D2601</f>
        <v>17.41</v>
      </c>
    </row>
    <row r="2599" spans="2:4" ht="12.75">
      <c r="B2599" s="54"/>
      <c r="C2599" s="63" t="s">
        <v>35</v>
      </c>
      <c r="D2599" s="59">
        <v>14.33</v>
      </c>
    </row>
    <row r="2600" spans="2:4" ht="12.75">
      <c r="B2600" s="54"/>
      <c r="C2600" s="63" t="s">
        <v>36</v>
      </c>
      <c r="D2600" s="72">
        <v>3.08</v>
      </c>
    </row>
    <row r="2601" spans="2:4" ht="12.75">
      <c r="B2601" s="61" t="s">
        <v>37</v>
      </c>
      <c r="C2601" s="61"/>
      <c r="D2601" s="72">
        <v>0</v>
      </c>
    </row>
    <row r="2602" spans="2:4" ht="12.75" customHeight="1">
      <c r="B2602" s="65" t="s">
        <v>38</v>
      </c>
      <c r="C2602" s="65"/>
      <c r="D2602" s="66">
        <f>D2603+D2605+D2606+D2604</f>
        <v>35</v>
      </c>
    </row>
    <row r="2603" spans="2:4" ht="12.75">
      <c r="B2603" s="54"/>
      <c r="C2603" s="63" t="s">
        <v>15</v>
      </c>
      <c r="D2603" s="54">
        <f>17.78+3.6+1.56+2.3+0.08+0.36+0.09+3.4+0.41</f>
        <v>29.58</v>
      </c>
    </row>
    <row r="2604" spans="2:4" ht="12.75">
      <c r="B2604" s="54"/>
      <c r="C2604" s="63" t="s">
        <v>39</v>
      </c>
      <c r="D2604" s="59">
        <v>1.66</v>
      </c>
    </row>
    <row r="2605" spans="2:4" ht="12.75">
      <c r="B2605" s="54"/>
      <c r="C2605" s="67" t="s">
        <v>40</v>
      </c>
      <c r="D2605" s="59">
        <v>0</v>
      </c>
    </row>
    <row r="2606" spans="2:4" ht="12.75">
      <c r="B2606" s="54"/>
      <c r="C2606" s="63" t="s">
        <v>41</v>
      </c>
      <c r="D2606" s="59">
        <f>0.03+0.16+3.57</f>
        <v>3.7600000000000002</v>
      </c>
    </row>
    <row r="2607" spans="2:4" ht="12.75">
      <c r="B2607" s="61" t="s">
        <v>19</v>
      </c>
      <c r="C2607" s="61"/>
      <c r="D2607" s="66">
        <v>1.98</v>
      </c>
    </row>
    <row r="2608" spans="2:4" ht="12.75">
      <c r="B2608" s="68" t="s">
        <v>42</v>
      </c>
      <c r="C2608" s="68"/>
      <c r="D2608" s="66">
        <f>5.66+2.13+0.093</f>
        <v>7.883</v>
      </c>
    </row>
    <row r="2609" spans="2:4" ht="12.75">
      <c r="B2609" s="54"/>
      <c r="C2609" s="40" t="s">
        <v>21</v>
      </c>
      <c r="D2609" s="66">
        <f>D2597+D2598+D2602+D2607+D2608</f>
        <v>71.51299999999999</v>
      </c>
    </row>
    <row r="2610" spans="2:4" ht="12.75">
      <c r="B2610" s="55">
        <v>5</v>
      </c>
      <c r="C2610" s="60" t="s">
        <v>9</v>
      </c>
      <c r="D2610" s="66">
        <f>D2609-D2594/1000</f>
        <v>6.156199999999984</v>
      </c>
    </row>
    <row r="2611" spans="2:4" ht="12.75">
      <c r="B2611" s="69"/>
      <c r="C2611" s="69"/>
      <c r="D2611" s="69"/>
    </row>
    <row r="2612" spans="2:4" ht="12.75">
      <c r="B2612" s="70" t="s">
        <v>47</v>
      </c>
      <c r="C2612" s="70"/>
      <c r="D2612" s="70"/>
    </row>
    <row r="2614" spans="2:4" ht="12.75">
      <c r="B2614" s="53" t="s">
        <v>0</v>
      </c>
      <c r="C2614" s="53"/>
      <c r="D2614" s="53"/>
    </row>
    <row r="2615" spans="2:4" ht="12.75">
      <c r="B2615" s="53" t="s">
        <v>30</v>
      </c>
      <c r="C2615" s="53"/>
      <c r="D2615" s="53"/>
    </row>
    <row r="2616" spans="2:4" ht="12.75">
      <c r="B2616" s="53" t="s">
        <v>138</v>
      </c>
      <c r="C2616" s="53"/>
      <c r="D2616" s="53"/>
    </row>
    <row r="2617" spans="2:4" ht="12.75">
      <c r="B2617" s="54"/>
      <c r="C2617" s="54" t="s">
        <v>3</v>
      </c>
      <c r="D2617" s="55" t="s">
        <v>4</v>
      </c>
    </row>
    <row r="2618" spans="2:4" ht="12.75">
      <c r="B2618" s="55">
        <v>1</v>
      </c>
      <c r="C2618" s="56" t="s">
        <v>5</v>
      </c>
      <c r="D2618" s="54">
        <v>866.93</v>
      </c>
    </row>
    <row r="2619" spans="2:4" ht="12.75">
      <c r="B2619" s="55">
        <v>2</v>
      </c>
      <c r="C2619" s="55" t="s">
        <v>32</v>
      </c>
      <c r="D2619" s="54"/>
    </row>
    <row r="2620" spans="2:4" ht="12.75">
      <c r="B2620" s="54"/>
      <c r="C2620" s="54" t="s">
        <v>7</v>
      </c>
      <c r="D2620" s="59">
        <v>9203.63</v>
      </c>
    </row>
    <row r="2621" spans="2:4" ht="12.75">
      <c r="B2621" s="54"/>
      <c r="C2621" s="54" t="s">
        <v>33</v>
      </c>
      <c r="D2621" s="59">
        <v>8536.7</v>
      </c>
    </row>
    <row r="2622" spans="2:4" ht="12.75">
      <c r="B2622" s="54"/>
      <c r="C2622" s="54" t="s">
        <v>9</v>
      </c>
      <c r="D2622" s="59">
        <f>D2621-D2620</f>
        <v>-666.9299999999985</v>
      </c>
    </row>
    <row r="2623" spans="2:4" ht="12.75">
      <c r="B2623" s="55">
        <v>3</v>
      </c>
      <c r="C2623" s="58" t="s">
        <v>6</v>
      </c>
      <c r="D2623" s="54"/>
    </row>
    <row r="2624" spans="2:4" ht="12.75">
      <c r="B2624" s="55"/>
      <c r="C2624" s="54" t="s">
        <v>7</v>
      </c>
      <c r="D2624" s="59">
        <v>168671.26</v>
      </c>
    </row>
    <row r="2625" spans="2:4" ht="12.75">
      <c r="B2625" s="55"/>
      <c r="C2625" s="54" t="s">
        <v>8</v>
      </c>
      <c r="D2625" s="59">
        <v>166820.14</v>
      </c>
    </row>
    <row r="2626" spans="2:4" ht="12.75">
      <c r="B2626" s="55"/>
      <c r="C2626" s="54" t="s">
        <v>9</v>
      </c>
      <c r="D2626" s="59">
        <f>D2625-D2624</f>
        <v>-1851.1199999999953</v>
      </c>
    </row>
    <row r="2627" spans="2:4" ht="12.75">
      <c r="B2627" s="55">
        <v>4</v>
      </c>
      <c r="C2627" s="60" t="s">
        <v>10</v>
      </c>
      <c r="D2627" s="55" t="s">
        <v>11</v>
      </c>
    </row>
    <row r="2628" spans="2:4" ht="12.75">
      <c r="B2628" s="61" t="s">
        <v>14</v>
      </c>
      <c r="C2628" s="61"/>
      <c r="D2628" s="59">
        <v>22.8</v>
      </c>
    </row>
    <row r="2629" spans="2:4" ht="12.75" customHeight="1">
      <c r="B2629" s="62" t="s">
        <v>34</v>
      </c>
      <c r="C2629" s="62"/>
      <c r="D2629" s="55">
        <f>D2630+D2631+D2632</f>
        <v>47.28</v>
      </c>
    </row>
    <row r="2630" spans="2:4" ht="12.75">
      <c r="B2630" s="54"/>
      <c r="C2630" s="63" t="s">
        <v>35</v>
      </c>
      <c r="D2630" s="59">
        <v>33.56</v>
      </c>
    </row>
    <row r="2631" spans="2:4" ht="12.75">
      <c r="B2631" s="54"/>
      <c r="C2631" s="63" t="s">
        <v>36</v>
      </c>
      <c r="D2631" s="72">
        <v>13.72</v>
      </c>
    </row>
    <row r="2632" spans="2:4" ht="12.75">
      <c r="B2632" s="61" t="s">
        <v>37</v>
      </c>
      <c r="C2632" s="61"/>
      <c r="D2632" s="72">
        <v>0</v>
      </c>
    </row>
    <row r="2633" spans="2:4" ht="12.75" customHeight="1">
      <c r="B2633" s="65" t="s">
        <v>38</v>
      </c>
      <c r="C2633" s="65"/>
      <c r="D2633" s="66">
        <f>D2634+D2636+D2637+D2635</f>
        <v>82.75</v>
      </c>
    </row>
    <row r="2634" spans="2:4" ht="12.75">
      <c r="B2634" s="54"/>
      <c r="C2634" s="63" t="s">
        <v>15</v>
      </c>
      <c r="D2634" s="54">
        <f>42.9+8.66+3.77+5.55+0.08+0.85+0.22+5.74+0.71</f>
        <v>68.47999999999999</v>
      </c>
    </row>
    <row r="2635" spans="2:4" ht="12.75">
      <c r="B2635" s="54"/>
      <c r="C2635" s="63" t="s">
        <v>39</v>
      </c>
      <c r="D2635" s="59">
        <v>3.4</v>
      </c>
    </row>
    <row r="2636" spans="2:4" ht="12.75">
      <c r="B2636" s="54"/>
      <c r="C2636" s="67" t="s">
        <v>40</v>
      </c>
      <c r="D2636" s="59">
        <v>0</v>
      </c>
    </row>
    <row r="2637" spans="2:4" ht="12.75">
      <c r="B2637" s="54"/>
      <c r="C2637" s="63" t="s">
        <v>41</v>
      </c>
      <c r="D2637" s="59">
        <f>0.08+0.37+10.42</f>
        <v>10.87</v>
      </c>
    </row>
    <row r="2638" spans="2:4" ht="12.75">
      <c r="B2638" s="61" t="s">
        <v>19</v>
      </c>
      <c r="C2638" s="61"/>
      <c r="D2638" s="66">
        <v>5</v>
      </c>
    </row>
    <row r="2639" spans="2:4" ht="12.75">
      <c r="B2639" s="68" t="s">
        <v>42</v>
      </c>
      <c r="C2639" s="68"/>
      <c r="D2639" s="66">
        <f>13.26+5+0.2</f>
        <v>18.459999999999997</v>
      </c>
    </row>
    <row r="2640" spans="2:4" ht="12.75">
      <c r="B2640" s="54"/>
      <c r="C2640" s="40" t="s">
        <v>21</v>
      </c>
      <c r="D2640" s="66">
        <f>D2628+D2629+D2633+D2638+D2639</f>
        <v>176.29</v>
      </c>
    </row>
    <row r="2641" spans="2:4" ht="12.75">
      <c r="B2641" s="55">
        <v>5</v>
      </c>
      <c r="C2641" s="60" t="s">
        <v>9</v>
      </c>
      <c r="D2641" s="66">
        <f>D2640-D2625/1000</f>
        <v>9.469859999999983</v>
      </c>
    </row>
    <row r="2642" spans="2:4" ht="12.75">
      <c r="B2642" s="69"/>
      <c r="C2642" s="69"/>
      <c r="D2642" s="69"/>
    </row>
    <row r="2643" spans="2:4" ht="12.75">
      <c r="B2643" s="70" t="s">
        <v>47</v>
      </c>
      <c r="C2643" s="70"/>
      <c r="D2643" s="70"/>
    </row>
    <row r="2645" spans="2:4" ht="12.75">
      <c r="B2645" s="53" t="s">
        <v>0</v>
      </c>
      <c r="C2645" s="53"/>
      <c r="D2645" s="53"/>
    </row>
    <row r="2646" spans="2:4" ht="12.75">
      <c r="B2646" s="53" t="s">
        <v>30</v>
      </c>
      <c r="C2646" s="53"/>
      <c r="D2646" s="53"/>
    </row>
    <row r="2647" spans="2:4" ht="12.75">
      <c r="B2647" s="53" t="s">
        <v>139</v>
      </c>
      <c r="C2647" s="53"/>
      <c r="D2647" s="53"/>
    </row>
    <row r="2648" spans="2:4" ht="12.75">
      <c r="B2648" s="54"/>
      <c r="C2648" s="54" t="s">
        <v>3</v>
      </c>
      <c r="D2648" s="55" t="s">
        <v>4</v>
      </c>
    </row>
    <row r="2649" spans="2:4" ht="12.75">
      <c r="B2649" s="55">
        <v>1</v>
      </c>
      <c r="C2649" s="56" t="s">
        <v>5</v>
      </c>
      <c r="D2649" s="54">
        <v>1309.9</v>
      </c>
    </row>
    <row r="2650" spans="2:4" ht="12.75">
      <c r="B2650" s="55">
        <v>2</v>
      </c>
      <c r="C2650" s="55" t="s">
        <v>32</v>
      </c>
      <c r="D2650" s="54"/>
    </row>
    <row r="2651" spans="2:4" ht="12.75">
      <c r="B2651" s="54"/>
      <c r="C2651" s="54" t="s">
        <v>7</v>
      </c>
      <c r="D2651" s="59">
        <v>0</v>
      </c>
    </row>
    <row r="2652" spans="2:4" ht="12.75">
      <c r="B2652" s="54"/>
      <c r="C2652" s="54" t="s">
        <v>33</v>
      </c>
      <c r="D2652" s="59">
        <v>6983.85</v>
      </c>
    </row>
    <row r="2653" spans="2:4" ht="12.75">
      <c r="B2653" s="54"/>
      <c r="C2653" s="54" t="s">
        <v>9</v>
      </c>
      <c r="D2653" s="59">
        <f>D2652-D2651</f>
        <v>6983.85</v>
      </c>
    </row>
    <row r="2654" spans="2:4" ht="12.75">
      <c r="B2654" s="55">
        <v>3</v>
      </c>
      <c r="C2654" s="58" t="s">
        <v>6</v>
      </c>
      <c r="D2654" s="54"/>
    </row>
    <row r="2655" spans="2:4" ht="12.75">
      <c r="B2655" s="55"/>
      <c r="C2655" s="54" t="s">
        <v>7</v>
      </c>
      <c r="D2655" s="59">
        <v>236833.57</v>
      </c>
    </row>
    <row r="2656" spans="2:4" ht="12.75">
      <c r="B2656" s="55"/>
      <c r="C2656" s="54" t="s">
        <v>8</v>
      </c>
      <c r="D2656" s="59">
        <v>235000.81</v>
      </c>
    </row>
    <row r="2657" spans="2:4" ht="12.75">
      <c r="B2657" s="55"/>
      <c r="C2657" s="54" t="s">
        <v>9</v>
      </c>
      <c r="D2657" s="59">
        <f>D2656-D2655</f>
        <v>-1832.7600000000093</v>
      </c>
    </row>
    <row r="2658" spans="2:4" ht="12.75">
      <c r="B2658" s="55">
        <v>4</v>
      </c>
      <c r="C2658" s="60" t="s">
        <v>10</v>
      </c>
      <c r="D2658" s="55" t="s">
        <v>11</v>
      </c>
    </row>
    <row r="2659" spans="2:4" ht="12.75">
      <c r="B2659" s="61" t="s">
        <v>14</v>
      </c>
      <c r="C2659" s="61"/>
      <c r="D2659" s="59">
        <v>32</v>
      </c>
    </row>
    <row r="2660" spans="2:4" ht="12.75" customHeight="1">
      <c r="B2660" s="62" t="s">
        <v>34</v>
      </c>
      <c r="C2660" s="62"/>
      <c r="D2660" s="55">
        <f>D2661+D2662+D2663</f>
        <v>65.05</v>
      </c>
    </row>
    <row r="2661" spans="2:4" ht="12.75">
      <c r="B2661" s="54"/>
      <c r="C2661" s="63" t="s">
        <v>35</v>
      </c>
      <c r="D2661" s="59">
        <v>50.7</v>
      </c>
    </row>
    <row r="2662" spans="2:4" ht="12.75">
      <c r="B2662" s="54"/>
      <c r="C2662" s="63" t="s">
        <v>36</v>
      </c>
      <c r="D2662" s="72">
        <v>14.35</v>
      </c>
    </row>
    <row r="2663" spans="2:4" ht="12.75">
      <c r="B2663" s="61" t="s">
        <v>37</v>
      </c>
      <c r="C2663" s="61"/>
      <c r="D2663" s="72">
        <v>0</v>
      </c>
    </row>
    <row r="2664" spans="2:4" ht="12.75" customHeight="1">
      <c r="B2664" s="65" t="s">
        <v>38</v>
      </c>
      <c r="C2664" s="65"/>
      <c r="D2664" s="66">
        <f>D2665+D2667+D2668+D2666</f>
        <v>74.83</v>
      </c>
    </row>
    <row r="2665" spans="2:4" ht="12.75">
      <c r="B2665" s="54"/>
      <c r="C2665" s="63" t="s">
        <v>15</v>
      </c>
      <c r="D2665" s="54">
        <f>45.42+9.17+4+5.88+1.29+0.33+2.57+1.1</f>
        <v>69.75999999999999</v>
      </c>
    </row>
    <row r="2666" spans="2:4" ht="12.75">
      <c r="B2666" s="54"/>
      <c r="C2666" s="63" t="s">
        <v>39</v>
      </c>
      <c r="D2666" s="59">
        <v>4.4</v>
      </c>
    </row>
    <row r="2667" spans="2:4" ht="12.75">
      <c r="B2667" s="54"/>
      <c r="C2667" s="67" t="s">
        <v>40</v>
      </c>
      <c r="D2667" s="59">
        <v>0</v>
      </c>
    </row>
    <row r="2668" spans="2:4" ht="12.75">
      <c r="B2668" s="54"/>
      <c r="C2668" s="63" t="s">
        <v>41</v>
      </c>
      <c r="D2668" s="59">
        <f>0.12+0.55</f>
        <v>0.67</v>
      </c>
    </row>
    <row r="2669" spans="2:4" ht="12.75">
      <c r="B2669" s="61" t="s">
        <v>19</v>
      </c>
      <c r="C2669" s="61"/>
      <c r="D2669" s="66">
        <v>7.04</v>
      </c>
    </row>
    <row r="2670" spans="2:4" ht="12.75">
      <c r="B2670" s="68" t="s">
        <v>42</v>
      </c>
      <c r="C2670" s="68"/>
      <c r="D2670" s="66">
        <f>20.04+7.55+0.33</f>
        <v>27.919999999999998</v>
      </c>
    </row>
    <row r="2671" spans="2:4" ht="12.75">
      <c r="B2671" s="54"/>
      <c r="C2671" s="40" t="s">
        <v>21</v>
      </c>
      <c r="D2671" s="66">
        <f>D2659+D2660+D2664+D2669+D2670</f>
        <v>206.83999999999997</v>
      </c>
    </row>
    <row r="2672" spans="2:4" ht="12.75">
      <c r="B2672" s="55">
        <v>5</v>
      </c>
      <c r="C2672" s="60" t="s">
        <v>9</v>
      </c>
      <c r="D2672" s="66">
        <f>D2671-D2656/1000</f>
        <v>-28.160810000000026</v>
      </c>
    </row>
    <row r="2673" spans="2:4" ht="12.75">
      <c r="B2673" s="69"/>
      <c r="C2673" s="69"/>
      <c r="D2673" s="69"/>
    </row>
    <row r="2674" spans="2:4" ht="12.75">
      <c r="B2674" s="70" t="s">
        <v>47</v>
      </c>
      <c r="C2674" s="70"/>
      <c r="D2674" s="70"/>
    </row>
    <row r="2676" spans="2:4" ht="12.75">
      <c r="B2676" s="53" t="s">
        <v>0</v>
      </c>
      <c r="C2676" s="53"/>
      <c r="D2676" s="53"/>
    </row>
    <row r="2677" spans="2:4" ht="12.75">
      <c r="B2677" s="53" t="s">
        <v>30</v>
      </c>
      <c r="C2677" s="53"/>
      <c r="D2677" s="53"/>
    </row>
    <row r="2678" spans="2:4" ht="12.75">
      <c r="B2678" s="53" t="s">
        <v>140</v>
      </c>
      <c r="C2678" s="53"/>
      <c r="D2678" s="53"/>
    </row>
    <row r="2679" spans="2:4" ht="12.75">
      <c r="B2679" s="54"/>
      <c r="C2679" s="54" t="s">
        <v>3</v>
      </c>
      <c r="D2679" s="55" t="s">
        <v>4</v>
      </c>
    </row>
    <row r="2680" spans="2:4" ht="12.75">
      <c r="B2680" s="55">
        <v>1</v>
      </c>
      <c r="C2680" s="56" t="s">
        <v>5</v>
      </c>
      <c r="D2680" s="54">
        <v>324.5</v>
      </c>
    </row>
    <row r="2681" spans="2:4" ht="12.75">
      <c r="B2681" s="55">
        <v>2</v>
      </c>
      <c r="C2681" s="58" t="s">
        <v>6</v>
      </c>
      <c r="D2681" s="54"/>
    </row>
    <row r="2682" spans="2:4" ht="12.75">
      <c r="B2682" s="55"/>
      <c r="C2682" s="54" t="s">
        <v>7</v>
      </c>
      <c r="D2682" s="59">
        <v>59967.69</v>
      </c>
    </row>
    <row r="2683" spans="2:4" ht="12.75">
      <c r="B2683" s="55"/>
      <c r="C2683" s="54" t="s">
        <v>8</v>
      </c>
      <c r="D2683" s="59">
        <v>59407.26</v>
      </c>
    </row>
    <row r="2684" spans="2:4" ht="12.75">
      <c r="B2684" s="55"/>
      <c r="C2684" s="54" t="s">
        <v>9</v>
      </c>
      <c r="D2684" s="59">
        <f>D2683-D2682</f>
        <v>-560.4300000000003</v>
      </c>
    </row>
    <row r="2685" spans="2:4" ht="12.75">
      <c r="B2685" s="55">
        <v>3</v>
      </c>
      <c r="C2685" s="60" t="s">
        <v>10</v>
      </c>
      <c r="D2685" s="55" t="s">
        <v>11</v>
      </c>
    </row>
    <row r="2686" spans="2:4" ht="12.75">
      <c r="B2686" s="61" t="s">
        <v>14</v>
      </c>
      <c r="C2686" s="61"/>
      <c r="D2686" s="59">
        <v>8.1</v>
      </c>
    </row>
    <row r="2687" spans="2:4" ht="12.75" customHeight="1">
      <c r="B2687" s="62" t="s">
        <v>34</v>
      </c>
      <c r="C2687" s="62"/>
      <c r="D2687" s="55">
        <f>D2688+D2689+D2690</f>
        <v>34.92</v>
      </c>
    </row>
    <row r="2688" spans="2:4" ht="12.75">
      <c r="B2688" s="54"/>
      <c r="C2688" s="63" t="s">
        <v>35</v>
      </c>
      <c r="D2688" s="59">
        <v>12.56</v>
      </c>
    </row>
    <row r="2689" spans="2:4" ht="12.75">
      <c r="B2689" s="54"/>
      <c r="C2689" s="63" t="s">
        <v>36</v>
      </c>
      <c r="D2689" s="72">
        <v>22.36</v>
      </c>
    </row>
    <row r="2690" spans="2:4" ht="12.75">
      <c r="B2690" s="61" t="s">
        <v>37</v>
      </c>
      <c r="C2690" s="61"/>
      <c r="D2690" s="72">
        <v>0</v>
      </c>
    </row>
    <row r="2691" spans="2:4" ht="12.75" customHeight="1">
      <c r="B2691" s="65" t="s">
        <v>38</v>
      </c>
      <c r="C2691" s="65"/>
      <c r="D2691" s="66">
        <f>D2692+D2694+D2695+D2693</f>
        <v>14.42</v>
      </c>
    </row>
    <row r="2692" spans="2:4" ht="12.75">
      <c r="B2692" s="54"/>
      <c r="C2692" s="63" t="s">
        <v>15</v>
      </c>
      <c r="D2692" s="54">
        <f>8.31+1.68+0.73+1.08+0.32+0.08+0.71+0.27</f>
        <v>13.18</v>
      </c>
    </row>
    <row r="2693" spans="2:4" ht="12.75">
      <c r="B2693" s="54"/>
      <c r="C2693" s="63" t="s">
        <v>39</v>
      </c>
      <c r="D2693" s="59">
        <v>1.07</v>
      </c>
    </row>
    <row r="2694" spans="2:4" ht="12.75">
      <c r="B2694" s="54"/>
      <c r="C2694" s="67" t="s">
        <v>40</v>
      </c>
      <c r="D2694" s="59">
        <v>0</v>
      </c>
    </row>
    <row r="2695" spans="2:4" ht="12.75">
      <c r="B2695" s="54"/>
      <c r="C2695" s="63" t="s">
        <v>41</v>
      </c>
      <c r="D2695" s="59">
        <f>0.03+0.14</f>
        <v>0.17</v>
      </c>
    </row>
    <row r="2696" spans="2:4" ht="12.75">
      <c r="B2696" s="61" t="s">
        <v>19</v>
      </c>
      <c r="C2696" s="61"/>
      <c r="D2696" s="66">
        <v>1.78</v>
      </c>
    </row>
    <row r="2697" spans="2:4" ht="12.75">
      <c r="B2697" s="68" t="s">
        <v>42</v>
      </c>
      <c r="C2697" s="68"/>
      <c r="D2697" s="66">
        <f>4.96+1.87+0.08</f>
        <v>6.91</v>
      </c>
    </row>
    <row r="2698" spans="2:4" ht="12.75">
      <c r="B2698" s="54"/>
      <c r="C2698" s="40" t="s">
        <v>21</v>
      </c>
      <c r="D2698" s="66">
        <f>D2686+D2687+D2691+D2696+D2697</f>
        <v>66.13000000000001</v>
      </c>
    </row>
    <row r="2699" spans="2:4" ht="12.75">
      <c r="B2699" s="55">
        <v>4</v>
      </c>
      <c r="C2699" s="60" t="s">
        <v>9</v>
      </c>
      <c r="D2699" s="66">
        <f>D2698-D2683/1000</f>
        <v>6.722740000000009</v>
      </c>
    </row>
    <row r="2700" spans="2:4" ht="12.75">
      <c r="B2700" s="69"/>
      <c r="C2700" s="69"/>
      <c r="D2700" s="69"/>
    </row>
    <row r="2701" spans="2:4" ht="12.75">
      <c r="B2701" s="70" t="s">
        <v>47</v>
      </c>
      <c r="C2701" s="70"/>
      <c r="D2701" s="70"/>
    </row>
    <row r="2703" spans="2:4" ht="12.75">
      <c r="B2703" s="53" t="s">
        <v>0</v>
      </c>
      <c r="C2703" s="53"/>
      <c r="D2703" s="53"/>
    </row>
    <row r="2704" spans="2:4" ht="12.75">
      <c r="B2704" s="53" t="s">
        <v>30</v>
      </c>
      <c r="C2704" s="53"/>
      <c r="D2704" s="53"/>
    </row>
    <row r="2705" spans="2:4" ht="12.75">
      <c r="B2705" s="53" t="s">
        <v>141</v>
      </c>
      <c r="C2705" s="53"/>
      <c r="D2705" s="53"/>
    </row>
    <row r="2706" spans="2:4" ht="12.75">
      <c r="B2706" s="54"/>
      <c r="C2706" s="54" t="s">
        <v>3</v>
      </c>
      <c r="D2706" s="55" t="s">
        <v>4</v>
      </c>
    </row>
    <row r="2707" spans="2:4" ht="12.75">
      <c r="B2707" s="55">
        <v>1</v>
      </c>
      <c r="C2707" s="56" t="s">
        <v>5</v>
      </c>
      <c r="D2707" s="54">
        <v>363.8</v>
      </c>
    </row>
    <row r="2708" spans="2:4" ht="12.75">
      <c r="B2708" s="55">
        <v>2</v>
      </c>
      <c r="C2708" s="55" t="s">
        <v>32</v>
      </c>
      <c r="D2708" s="54"/>
    </row>
    <row r="2709" spans="2:4" ht="12.75">
      <c r="B2709" s="54"/>
      <c r="C2709" s="54" t="s">
        <v>7</v>
      </c>
      <c r="D2709" s="59">
        <v>0</v>
      </c>
    </row>
    <row r="2710" spans="2:4" ht="12.75">
      <c r="B2710" s="54"/>
      <c r="C2710" s="54" t="s">
        <v>33</v>
      </c>
      <c r="D2710" s="59">
        <v>155.02</v>
      </c>
    </row>
    <row r="2711" spans="2:4" ht="12.75">
      <c r="B2711" s="54"/>
      <c r="C2711" s="54" t="s">
        <v>9</v>
      </c>
      <c r="D2711" s="59">
        <f>D2710-D2709</f>
        <v>155.02</v>
      </c>
    </row>
    <row r="2712" spans="2:4" ht="12.75">
      <c r="B2712" s="55">
        <v>3</v>
      </c>
      <c r="C2712" s="58" t="s">
        <v>6</v>
      </c>
      <c r="D2712" s="54"/>
    </row>
    <row r="2713" spans="2:4" ht="12.75">
      <c r="B2713" s="55"/>
      <c r="C2713" s="54" t="s">
        <v>7</v>
      </c>
      <c r="D2713" s="59">
        <v>67270.42</v>
      </c>
    </row>
    <row r="2714" spans="2:4" ht="12.75">
      <c r="B2714" s="55"/>
      <c r="C2714" s="54" t="s">
        <v>8</v>
      </c>
      <c r="D2714" s="59">
        <v>63916.48</v>
      </c>
    </row>
    <row r="2715" spans="2:4" ht="12.75">
      <c r="B2715" s="55"/>
      <c r="C2715" s="54" t="s">
        <v>9</v>
      </c>
      <c r="D2715" s="59">
        <f>D2714-D2713</f>
        <v>-3353.939999999995</v>
      </c>
    </row>
    <row r="2716" spans="2:4" ht="12.75">
      <c r="B2716" s="55">
        <v>4</v>
      </c>
      <c r="C2716" s="60" t="s">
        <v>10</v>
      </c>
      <c r="D2716" s="55" t="s">
        <v>11</v>
      </c>
    </row>
    <row r="2717" spans="2:4" ht="12.75">
      <c r="B2717" s="61" t="s">
        <v>14</v>
      </c>
      <c r="C2717" s="61"/>
      <c r="D2717" s="59">
        <v>9.08</v>
      </c>
    </row>
    <row r="2718" spans="2:4" ht="12.75" customHeight="1">
      <c r="B2718" s="62" t="s">
        <v>34</v>
      </c>
      <c r="C2718" s="62"/>
      <c r="D2718" s="55">
        <f>D2719+D2720+D2721</f>
        <v>22.45</v>
      </c>
    </row>
    <row r="2719" spans="2:4" ht="12.75">
      <c r="B2719" s="54"/>
      <c r="C2719" s="63" t="s">
        <v>35</v>
      </c>
      <c r="D2719" s="59">
        <v>14.08</v>
      </c>
    </row>
    <row r="2720" spans="2:4" ht="12.75">
      <c r="B2720" s="54"/>
      <c r="C2720" s="63" t="s">
        <v>36</v>
      </c>
      <c r="D2720" s="72">
        <v>8.37</v>
      </c>
    </row>
    <row r="2721" spans="2:4" ht="12.75">
      <c r="B2721" s="61" t="s">
        <v>37</v>
      </c>
      <c r="C2721" s="61"/>
      <c r="D2721" s="72">
        <v>0</v>
      </c>
    </row>
    <row r="2722" spans="2:4" ht="12.75" customHeight="1">
      <c r="B2722" s="65" t="s">
        <v>38</v>
      </c>
      <c r="C2722" s="65"/>
      <c r="D2722" s="66">
        <f>D2723+D2725+D2726+D2724</f>
        <v>15.66</v>
      </c>
    </row>
    <row r="2723" spans="2:4" ht="12.75">
      <c r="B2723" s="54"/>
      <c r="C2723" s="63" t="s">
        <v>15</v>
      </c>
      <c r="D2723" s="54">
        <f>9.18+1.85+0.8+1.2+0.36+0.09+0.3</f>
        <v>13.78</v>
      </c>
    </row>
    <row r="2724" spans="2:4" ht="12.75">
      <c r="B2724" s="54"/>
      <c r="C2724" s="63" t="s">
        <v>39</v>
      </c>
      <c r="D2724" s="59">
        <v>1.7000000000000002</v>
      </c>
    </row>
    <row r="2725" spans="2:4" ht="12.75">
      <c r="B2725" s="54"/>
      <c r="C2725" s="67" t="s">
        <v>40</v>
      </c>
      <c r="D2725" s="59">
        <v>0</v>
      </c>
    </row>
    <row r="2726" spans="2:4" ht="12.75">
      <c r="B2726" s="54"/>
      <c r="C2726" s="63" t="s">
        <v>41</v>
      </c>
      <c r="D2726" s="59">
        <f>0.03+0.15</f>
        <v>0.18</v>
      </c>
    </row>
    <row r="2727" spans="2:4" ht="12.75">
      <c r="B2727" s="61" t="s">
        <v>19</v>
      </c>
      <c r="C2727" s="61"/>
      <c r="D2727" s="66">
        <v>1.92</v>
      </c>
    </row>
    <row r="2728" spans="2:4" ht="12.75">
      <c r="B2728" s="68" t="s">
        <v>42</v>
      </c>
      <c r="C2728" s="68"/>
      <c r="D2728" s="66">
        <f>5.57+2.1+0.09</f>
        <v>7.76</v>
      </c>
    </row>
    <row r="2729" spans="2:4" ht="12.75">
      <c r="B2729" s="54"/>
      <c r="C2729" s="40" t="s">
        <v>21</v>
      </c>
      <c r="D2729" s="66">
        <f>D2717+D2718+D2722+D2727+D2728</f>
        <v>56.87</v>
      </c>
    </row>
    <row r="2730" spans="2:4" ht="12.75">
      <c r="B2730" s="55">
        <v>5</v>
      </c>
      <c r="C2730" s="60" t="s">
        <v>9</v>
      </c>
      <c r="D2730" s="66">
        <f>D2729-D2714/1000</f>
        <v>-7.0464800000000025</v>
      </c>
    </row>
    <row r="2731" spans="2:4" ht="12.75">
      <c r="B2731" s="69"/>
      <c r="C2731" s="69"/>
      <c r="D2731" s="69"/>
    </row>
    <row r="2732" spans="2:4" ht="12.75">
      <c r="B2732" s="70" t="s">
        <v>47</v>
      </c>
      <c r="C2732" s="70"/>
      <c r="D2732" s="70"/>
    </row>
    <row r="2734" spans="2:4" ht="12.75">
      <c r="B2734" s="53" t="s">
        <v>0</v>
      </c>
      <c r="C2734" s="53"/>
      <c r="D2734" s="53"/>
    </row>
    <row r="2735" spans="2:4" ht="12.75">
      <c r="B2735" s="53" t="s">
        <v>30</v>
      </c>
      <c r="C2735" s="53"/>
      <c r="D2735" s="53"/>
    </row>
    <row r="2736" spans="2:4" ht="12.75">
      <c r="B2736" s="53" t="s">
        <v>142</v>
      </c>
      <c r="C2736" s="53"/>
      <c r="D2736" s="53"/>
    </row>
    <row r="2737" spans="2:4" ht="12.75">
      <c r="B2737" s="54"/>
      <c r="C2737" s="54" t="s">
        <v>3</v>
      </c>
      <c r="D2737" s="55" t="s">
        <v>4</v>
      </c>
    </row>
    <row r="2738" spans="2:4" ht="12.75">
      <c r="B2738" s="55">
        <v>1</v>
      </c>
      <c r="C2738" s="56" t="s">
        <v>5</v>
      </c>
      <c r="D2738" s="54">
        <v>377.02</v>
      </c>
    </row>
    <row r="2739" spans="2:4" ht="12.75">
      <c r="B2739" s="55">
        <v>2</v>
      </c>
      <c r="C2739" s="55" t="s">
        <v>32</v>
      </c>
      <c r="D2739" s="54"/>
    </row>
    <row r="2740" spans="2:4" ht="12.75">
      <c r="B2740" s="54"/>
      <c r="C2740" s="54" t="s">
        <v>7</v>
      </c>
      <c r="D2740" s="59">
        <v>0</v>
      </c>
    </row>
    <row r="2741" spans="2:4" ht="12.75">
      <c r="B2741" s="54"/>
      <c r="C2741" s="54" t="s">
        <v>33</v>
      </c>
      <c r="D2741" s="59">
        <v>3065.8</v>
      </c>
    </row>
    <row r="2742" spans="2:4" ht="12.75">
      <c r="B2742" s="54"/>
      <c r="C2742" s="54" t="s">
        <v>9</v>
      </c>
      <c r="D2742" s="59">
        <f>D2741-D2740</f>
        <v>3065.8</v>
      </c>
    </row>
    <row r="2743" spans="2:4" ht="12.75">
      <c r="B2743" s="55">
        <v>3</v>
      </c>
      <c r="C2743" s="58" t="s">
        <v>6</v>
      </c>
      <c r="D2743" s="54"/>
    </row>
    <row r="2744" spans="2:4" ht="12.75">
      <c r="B2744" s="55"/>
      <c r="C2744" s="54" t="s">
        <v>7</v>
      </c>
      <c r="D2744" s="59">
        <v>69673.56</v>
      </c>
    </row>
    <row r="2745" spans="2:4" ht="12.75">
      <c r="B2745" s="55"/>
      <c r="C2745" s="54" t="s">
        <v>8</v>
      </c>
      <c r="D2745" s="59">
        <v>55977.52</v>
      </c>
    </row>
    <row r="2746" spans="2:4" ht="12.75">
      <c r="B2746" s="55"/>
      <c r="C2746" s="54" t="s">
        <v>9</v>
      </c>
      <c r="D2746" s="59">
        <f>D2745-D2744</f>
        <v>-13696.04</v>
      </c>
    </row>
    <row r="2747" spans="2:4" ht="12.75">
      <c r="B2747" s="55">
        <v>4</v>
      </c>
      <c r="C2747" s="60" t="s">
        <v>10</v>
      </c>
      <c r="D2747" s="55" t="s">
        <v>11</v>
      </c>
    </row>
    <row r="2748" spans="2:4" ht="12.75">
      <c r="B2748" s="61" t="s">
        <v>14</v>
      </c>
      <c r="C2748" s="61"/>
      <c r="D2748" s="59">
        <v>9.4</v>
      </c>
    </row>
    <row r="2749" spans="2:4" ht="12.75" customHeight="1">
      <c r="B2749" s="62" t="s">
        <v>34</v>
      </c>
      <c r="C2749" s="62"/>
      <c r="D2749" s="55">
        <f>D2750+D2751+D2752</f>
        <v>64.7</v>
      </c>
    </row>
    <row r="2750" spans="2:4" ht="12.75">
      <c r="B2750" s="54"/>
      <c r="C2750" s="63" t="s">
        <v>35</v>
      </c>
      <c r="D2750" s="59">
        <v>14.6</v>
      </c>
    </row>
    <row r="2751" spans="2:4" ht="12.75">
      <c r="B2751" s="54"/>
      <c r="C2751" s="63" t="s">
        <v>36</v>
      </c>
      <c r="D2751" s="72">
        <v>48.9</v>
      </c>
    </row>
    <row r="2752" spans="2:4" ht="12.75">
      <c r="B2752" s="61" t="s">
        <v>37</v>
      </c>
      <c r="C2752" s="61"/>
      <c r="D2752" s="72">
        <v>1.2</v>
      </c>
    </row>
    <row r="2753" spans="2:4" ht="12.75" customHeight="1">
      <c r="B2753" s="65" t="s">
        <v>38</v>
      </c>
      <c r="C2753" s="65"/>
      <c r="D2753" s="66">
        <f>D2754+D2756+D2757+D2755</f>
        <v>17.866</v>
      </c>
    </row>
    <row r="2754" spans="2:4" ht="12.75">
      <c r="B2754" s="54"/>
      <c r="C2754" s="63" t="s">
        <v>15</v>
      </c>
      <c r="D2754" s="54">
        <f>8+1.62+0.7+1.04+0.3+0.37+0.096+4.57+0.31</f>
        <v>17.005999999999997</v>
      </c>
    </row>
    <row r="2755" spans="2:4" ht="12.75">
      <c r="B2755" s="54"/>
      <c r="C2755" s="63" t="s">
        <v>39</v>
      </c>
      <c r="D2755" s="59">
        <v>0.28</v>
      </c>
    </row>
    <row r="2756" spans="2:4" ht="12.75">
      <c r="B2756" s="54"/>
      <c r="C2756" s="67" t="s">
        <v>40</v>
      </c>
      <c r="D2756" s="59">
        <v>0</v>
      </c>
    </row>
    <row r="2757" spans="2:4" ht="12.75">
      <c r="B2757" s="54"/>
      <c r="C2757" s="63" t="s">
        <v>41</v>
      </c>
      <c r="D2757" s="59">
        <f>0.04+0.16+0.38</f>
        <v>0.5800000000000001</v>
      </c>
    </row>
    <row r="2758" spans="2:4" ht="12.75">
      <c r="B2758" s="61" t="s">
        <v>19</v>
      </c>
      <c r="C2758" s="61"/>
      <c r="D2758" s="66">
        <v>1.6800000000000002</v>
      </c>
    </row>
    <row r="2759" spans="2:4" ht="12.75">
      <c r="B2759" s="68" t="s">
        <v>42</v>
      </c>
      <c r="C2759" s="68"/>
      <c r="D2759" s="66">
        <f>5.77+2.17+0.09</f>
        <v>8.03</v>
      </c>
    </row>
    <row r="2760" spans="2:4" ht="12.75">
      <c r="B2760" s="54"/>
      <c r="C2760" s="40" t="s">
        <v>21</v>
      </c>
      <c r="D2760" s="66">
        <f>D2748+D2749+D2753+D2758+D2759</f>
        <v>101.67600000000002</v>
      </c>
    </row>
    <row r="2761" spans="2:4" ht="12.75">
      <c r="B2761" s="55">
        <v>5</v>
      </c>
      <c r="C2761" s="60" t="s">
        <v>9</v>
      </c>
      <c r="D2761" s="66">
        <f>D2760-D2745/1000</f>
        <v>45.69848000000002</v>
      </c>
    </row>
    <row r="2762" spans="2:4" ht="12.75">
      <c r="B2762" s="69"/>
      <c r="C2762" s="69"/>
      <c r="D2762" s="69"/>
    </row>
    <row r="2763" spans="2:4" ht="12.75">
      <c r="B2763" s="70" t="s">
        <v>47</v>
      </c>
      <c r="C2763" s="70"/>
      <c r="D2763" s="70"/>
    </row>
    <row r="2765" spans="2:4" ht="12.75">
      <c r="B2765" s="53" t="s">
        <v>0</v>
      </c>
      <c r="C2765" s="53"/>
      <c r="D2765" s="53"/>
    </row>
    <row r="2766" spans="2:4" ht="12.75">
      <c r="B2766" s="53" t="s">
        <v>30</v>
      </c>
      <c r="C2766" s="53"/>
      <c r="D2766" s="53"/>
    </row>
    <row r="2767" spans="2:4" ht="12.75">
      <c r="B2767" s="53" t="s">
        <v>143</v>
      </c>
      <c r="C2767" s="53"/>
      <c r="D2767" s="53"/>
    </row>
    <row r="2768" spans="2:4" ht="12.75">
      <c r="B2768" s="54"/>
      <c r="C2768" s="54" t="s">
        <v>3</v>
      </c>
      <c r="D2768" s="55" t="s">
        <v>4</v>
      </c>
    </row>
    <row r="2769" spans="2:4" ht="12.75">
      <c r="B2769" s="55">
        <v>1</v>
      </c>
      <c r="C2769" s="56" t="s">
        <v>5</v>
      </c>
      <c r="D2769" s="54">
        <v>1518.7</v>
      </c>
    </row>
    <row r="2770" spans="2:4" ht="12.75">
      <c r="B2770" s="55">
        <v>2</v>
      </c>
      <c r="C2770" s="55" t="s">
        <v>32</v>
      </c>
      <c r="D2770" s="54"/>
    </row>
    <row r="2771" spans="2:4" ht="12.75">
      <c r="B2771" s="54"/>
      <c r="C2771" s="54" t="s">
        <v>7</v>
      </c>
      <c r="D2771" s="59">
        <v>0</v>
      </c>
    </row>
    <row r="2772" spans="2:4" ht="12.75">
      <c r="B2772" s="54"/>
      <c r="C2772" s="54" t="s">
        <v>33</v>
      </c>
      <c r="D2772" s="59">
        <v>881.02</v>
      </c>
    </row>
    <row r="2773" spans="2:4" ht="12.75">
      <c r="B2773" s="54"/>
      <c r="C2773" s="54" t="s">
        <v>9</v>
      </c>
      <c r="D2773" s="59">
        <f>D2772-D2771</f>
        <v>881.02</v>
      </c>
    </row>
    <row r="2774" spans="2:4" ht="12.75">
      <c r="B2774" s="55">
        <v>3</v>
      </c>
      <c r="C2774" s="58" t="s">
        <v>6</v>
      </c>
      <c r="D2774" s="54"/>
    </row>
    <row r="2775" spans="2:4" ht="12.75">
      <c r="B2775" s="55"/>
      <c r="C2775" s="54" t="s">
        <v>7</v>
      </c>
      <c r="D2775" s="59">
        <v>280206.27</v>
      </c>
    </row>
    <row r="2776" spans="2:4" ht="12.75">
      <c r="B2776" s="55"/>
      <c r="C2776" s="54" t="s">
        <v>8</v>
      </c>
      <c r="D2776" s="59">
        <v>241396.24</v>
      </c>
    </row>
    <row r="2777" spans="2:4" ht="12.75">
      <c r="B2777" s="55"/>
      <c r="C2777" s="54" t="s">
        <v>9</v>
      </c>
      <c r="D2777" s="59">
        <f>D2776-D2775</f>
        <v>-38810.03000000003</v>
      </c>
    </row>
    <row r="2778" spans="2:4" ht="12.75">
      <c r="B2778" s="55">
        <v>4</v>
      </c>
      <c r="C2778" s="60" t="s">
        <v>10</v>
      </c>
      <c r="D2778" s="55" t="s">
        <v>11</v>
      </c>
    </row>
    <row r="2779" spans="2:4" ht="12.75">
      <c r="B2779" s="61" t="s">
        <v>14</v>
      </c>
      <c r="C2779" s="61"/>
      <c r="D2779" s="59">
        <v>37.83</v>
      </c>
    </row>
    <row r="2780" spans="2:4" ht="12.75" customHeight="1">
      <c r="B2780" s="62" t="s">
        <v>34</v>
      </c>
      <c r="C2780" s="62"/>
      <c r="D2780" s="55">
        <f>D2781+D2782+D2783</f>
        <v>118.07</v>
      </c>
    </row>
    <row r="2781" spans="2:4" ht="12.75">
      <c r="B2781" s="54"/>
      <c r="C2781" s="63" t="s">
        <v>35</v>
      </c>
      <c r="D2781" s="59">
        <v>58.79</v>
      </c>
    </row>
    <row r="2782" spans="2:4" ht="12.75">
      <c r="B2782" s="54"/>
      <c r="C2782" s="63" t="s">
        <v>36</v>
      </c>
      <c r="D2782" s="72">
        <v>57.48</v>
      </c>
    </row>
    <row r="2783" spans="2:4" ht="12.75">
      <c r="B2783" s="61" t="s">
        <v>37</v>
      </c>
      <c r="C2783" s="61"/>
      <c r="D2783" s="72">
        <v>1.8</v>
      </c>
    </row>
    <row r="2784" spans="2:4" ht="12.75" customHeight="1">
      <c r="B2784" s="65" t="s">
        <v>38</v>
      </c>
      <c r="C2784" s="65"/>
      <c r="D2784" s="66">
        <f>D2785+D2787+D2788+D2786</f>
        <v>120.3</v>
      </c>
    </row>
    <row r="2785" spans="2:4" ht="12.75">
      <c r="B2785" s="54"/>
      <c r="C2785" s="63" t="s">
        <v>15</v>
      </c>
      <c r="D2785" s="54">
        <f>72.47+14.64+6.37+9.38+1.5+1.2+0.39+4.17+1.25</f>
        <v>111.37</v>
      </c>
    </row>
    <row r="2786" spans="2:4" ht="12.75">
      <c r="B2786" s="54"/>
      <c r="C2786" s="63" t="s">
        <v>39</v>
      </c>
      <c r="D2786" s="59">
        <v>7.64</v>
      </c>
    </row>
    <row r="2787" spans="2:4" ht="12.75">
      <c r="B2787" s="54"/>
      <c r="C2787" s="67" t="s">
        <v>40</v>
      </c>
      <c r="D2787" s="59">
        <v>0.13</v>
      </c>
    </row>
    <row r="2788" spans="2:4" ht="12.75">
      <c r="B2788" s="54"/>
      <c r="C2788" s="63" t="s">
        <v>41</v>
      </c>
      <c r="D2788" s="59">
        <f>0.14+0.64+0.38</f>
        <v>1.1600000000000001</v>
      </c>
    </row>
    <row r="2789" spans="2:4" ht="12.75">
      <c r="B2789" s="61" t="s">
        <v>19</v>
      </c>
      <c r="C2789" s="61"/>
      <c r="D2789" s="66">
        <v>7.22</v>
      </c>
    </row>
    <row r="2790" spans="2:4" ht="12.75">
      <c r="B2790" s="68" t="s">
        <v>42</v>
      </c>
      <c r="C2790" s="68"/>
      <c r="D2790" s="66">
        <f>23.24+8.76+0.38</f>
        <v>32.38</v>
      </c>
    </row>
    <row r="2791" spans="2:4" ht="12.75">
      <c r="B2791" s="54"/>
      <c r="C2791" s="40" t="s">
        <v>21</v>
      </c>
      <c r="D2791" s="66">
        <f>D2779+D2780+D2784+D2789+D2790</f>
        <v>315.8</v>
      </c>
    </row>
    <row r="2792" spans="2:4" ht="12.75">
      <c r="B2792" s="55">
        <v>5</v>
      </c>
      <c r="C2792" s="60" t="s">
        <v>9</v>
      </c>
      <c r="D2792" s="66">
        <f>D2791-D2776/1000</f>
        <v>74.40376000000003</v>
      </c>
    </row>
    <row r="2793" spans="2:4" ht="12.75">
      <c r="B2793" s="69"/>
      <c r="C2793" s="69"/>
      <c r="D2793" s="69"/>
    </row>
    <row r="2794" spans="2:4" ht="12.75">
      <c r="B2794" s="70" t="s">
        <v>47</v>
      </c>
      <c r="C2794" s="70"/>
      <c r="D2794" s="70"/>
    </row>
    <row r="2796" spans="2:4" ht="12.75">
      <c r="B2796" s="53" t="s">
        <v>0</v>
      </c>
      <c r="C2796" s="53"/>
      <c r="D2796" s="53"/>
    </row>
    <row r="2797" spans="2:4" ht="12.75">
      <c r="B2797" s="53" t="s">
        <v>30</v>
      </c>
      <c r="C2797" s="53"/>
      <c r="D2797" s="53"/>
    </row>
    <row r="2798" spans="2:4" ht="12.75">
      <c r="B2798" s="53" t="s">
        <v>144</v>
      </c>
      <c r="C2798" s="53"/>
      <c r="D2798" s="53"/>
    </row>
    <row r="2799" spans="2:4" ht="12.75">
      <c r="B2799" s="54"/>
      <c r="C2799" s="54" t="s">
        <v>3</v>
      </c>
      <c r="D2799" s="55" t="s">
        <v>4</v>
      </c>
    </row>
    <row r="2800" spans="2:4" ht="12.75">
      <c r="B2800" s="55">
        <v>1</v>
      </c>
      <c r="C2800" s="56" t="s">
        <v>5</v>
      </c>
      <c r="D2800" s="54">
        <v>1512.67</v>
      </c>
    </row>
    <row r="2801" spans="2:4" ht="12.75">
      <c r="B2801" s="55">
        <v>2</v>
      </c>
      <c r="C2801" s="55" t="s">
        <v>32</v>
      </c>
      <c r="D2801" s="54"/>
    </row>
    <row r="2802" spans="2:4" ht="12.75">
      <c r="B2802" s="54"/>
      <c r="C2802" s="54" t="s">
        <v>7</v>
      </c>
      <c r="D2802" s="59">
        <v>0</v>
      </c>
    </row>
    <row r="2803" spans="2:4" ht="12.75">
      <c r="B2803" s="54"/>
      <c r="C2803" s="54" t="s">
        <v>33</v>
      </c>
      <c r="D2803" s="59">
        <v>294.72</v>
      </c>
    </row>
    <row r="2804" spans="2:4" ht="12.75">
      <c r="B2804" s="54"/>
      <c r="C2804" s="54" t="s">
        <v>9</v>
      </c>
      <c r="D2804" s="59">
        <f>D2803-D2802</f>
        <v>294.72</v>
      </c>
    </row>
    <row r="2805" spans="2:4" ht="12.75">
      <c r="B2805" s="55">
        <v>3</v>
      </c>
      <c r="C2805" s="58" t="s">
        <v>6</v>
      </c>
      <c r="D2805" s="54"/>
    </row>
    <row r="2806" spans="2:4" ht="12.75">
      <c r="B2806" s="55"/>
      <c r="C2806" s="54" t="s">
        <v>7</v>
      </c>
      <c r="D2806" s="59">
        <v>279039.7</v>
      </c>
    </row>
    <row r="2807" spans="2:4" ht="12.75">
      <c r="B2807" s="55"/>
      <c r="C2807" s="54" t="s">
        <v>8</v>
      </c>
      <c r="D2807" s="59">
        <v>276875.19</v>
      </c>
    </row>
    <row r="2808" spans="2:4" ht="12.75">
      <c r="B2808" s="55"/>
      <c r="C2808" s="54" t="s">
        <v>9</v>
      </c>
      <c r="D2808" s="59">
        <f>D2807-D2806</f>
        <v>-2164.5100000000093</v>
      </c>
    </row>
    <row r="2809" spans="2:4" ht="12.75">
      <c r="B2809" s="55">
        <v>4</v>
      </c>
      <c r="C2809" s="60" t="s">
        <v>10</v>
      </c>
      <c r="D2809" s="55" t="s">
        <v>11</v>
      </c>
    </row>
    <row r="2810" spans="2:4" ht="12.75">
      <c r="B2810" s="61" t="s">
        <v>14</v>
      </c>
      <c r="C2810" s="61"/>
      <c r="D2810" s="59">
        <v>37.67</v>
      </c>
    </row>
    <row r="2811" spans="2:4" ht="12.75" customHeight="1">
      <c r="B2811" s="62" t="s">
        <v>34</v>
      </c>
      <c r="C2811" s="62"/>
      <c r="D2811" s="55">
        <f>D2812+D2813+D2814</f>
        <v>113.68</v>
      </c>
    </row>
    <row r="2812" spans="2:4" ht="12.75">
      <c r="B2812" s="54"/>
      <c r="C2812" s="63" t="s">
        <v>35</v>
      </c>
      <c r="D2812" s="59">
        <v>58.55</v>
      </c>
    </row>
    <row r="2813" spans="2:4" ht="12.75">
      <c r="B2813" s="54"/>
      <c r="C2813" s="63" t="s">
        <v>36</v>
      </c>
      <c r="D2813" s="72">
        <v>52.13</v>
      </c>
    </row>
    <row r="2814" spans="2:4" ht="12.75">
      <c r="B2814" s="61" t="s">
        <v>37</v>
      </c>
      <c r="C2814" s="61"/>
      <c r="D2814" s="72">
        <v>3</v>
      </c>
    </row>
    <row r="2815" spans="2:4" ht="12.75" customHeight="1">
      <c r="B2815" s="65" t="s">
        <v>38</v>
      </c>
      <c r="C2815" s="65"/>
      <c r="D2815" s="66">
        <f>D2816+D2818+D2819+D2817</f>
        <v>124.03</v>
      </c>
    </row>
    <row r="2816" spans="2:4" ht="12.75">
      <c r="B2816" s="54"/>
      <c r="C2816" s="63" t="s">
        <v>15</v>
      </c>
      <c r="D2816" s="54">
        <f>77.18+15.6+6.78+10+1.49+1.2+0.39+3.9+1.25</f>
        <v>117.79</v>
      </c>
    </row>
    <row r="2817" spans="2:4" ht="12.75">
      <c r="B2817" s="54"/>
      <c r="C2817" s="63" t="s">
        <v>39</v>
      </c>
      <c r="D2817" s="59">
        <v>5.03</v>
      </c>
    </row>
    <row r="2818" spans="2:4" ht="12.75">
      <c r="B2818" s="54"/>
      <c r="C2818" s="67" t="s">
        <v>40</v>
      </c>
      <c r="D2818" s="59">
        <v>0.05</v>
      </c>
    </row>
    <row r="2819" spans="2:4" ht="12.75">
      <c r="B2819" s="54"/>
      <c r="C2819" s="63" t="s">
        <v>41</v>
      </c>
      <c r="D2819" s="59">
        <f>0.14+0.64+0.38</f>
        <v>1.1600000000000001</v>
      </c>
    </row>
    <row r="2820" spans="2:4" ht="12.75">
      <c r="B2820" s="61" t="s">
        <v>19</v>
      </c>
      <c r="C2820" s="61"/>
      <c r="D2820" s="66">
        <v>8.3</v>
      </c>
    </row>
    <row r="2821" spans="2:4" ht="12.75">
      <c r="B2821" s="68" t="s">
        <v>42</v>
      </c>
      <c r="C2821" s="68"/>
      <c r="D2821" s="66">
        <f>23.14+8.7+0.38</f>
        <v>32.22</v>
      </c>
    </row>
    <row r="2822" spans="2:4" ht="12.75">
      <c r="B2822" s="54"/>
      <c r="C2822" s="40" t="s">
        <v>21</v>
      </c>
      <c r="D2822" s="66">
        <f>D2810+D2811+D2815+D2820+D2821</f>
        <v>315.9</v>
      </c>
    </row>
    <row r="2823" spans="2:4" ht="12.75">
      <c r="B2823" s="55">
        <v>5</v>
      </c>
      <c r="C2823" s="60" t="s">
        <v>9</v>
      </c>
      <c r="D2823" s="66">
        <f>D2822-D2807/1000</f>
        <v>39.02481</v>
      </c>
    </row>
    <row r="2824" spans="2:4" ht="12.75">
      <c r="B2824" s="69"/>
      <c r="C2824" s="69"/>
      <c r="D2824" s="69"/>
    </row>
    <row r="2825" spans="2:4" ht="12.75">
      <c r="B2825" s="70" t="s">
        <v>47</v>
      </c>
      <c r="C2825" s="70"/>
      <c r="D2825" s="70"/>
    </row>
    <row r="2827" spans="2:4" ht="12.75">
      <c r="B2827" s="53" t="s">
        <v>0</v>
      </c>
      <c r="C2827" s="53"/>
      <c r="D2827" s="53"/>
    </row>
    <row r="2828" spans="2:4" ht="12.75">
      <c r="B2828" s="53" t="s">
        <v>30</v>
      </c>
      <c r="C2828" s="53"/>
      <c r="D2828" s="53"/>
    </row>
    <row r="2829" spans="2:4" ht="12.75">
      <c r="B2829" s="53" t="s">
        <v>145</v>
      </c>
      <c r="C2829" s="53"/>
      <c r="D2829" s="53"/>
    </row>
    <row r="2830" spans="2:4" ht="12.75">
      <c r="B2830" s="54"/>
      <c r="C2830" s="54" t="s">
        <v>3</v>
      </c>
      <c r="D2830" s="55" t="s">
        <v>4</v>
      </c>
    </row>
    <row r="2831" spans="2:4" ht="12.75">
      <c r="B2831" s="55">
        <v>1</v>
      </c>
      <c r="C2831" s="56" t="s">
        <v>5</v>
      </c>
      <c r="D2831" s="54">
        <v>2185.87</v>
      </c>
    </row>
    <row r="2832" spans="2:4" ht="12.75">
      <c r="B2832" s="55">
        <v>2</v>
      </c>
      <c r="C2832" s="55" t="s">
        <v>32</v>
      </c>
      <c r="D2832" s="54"/>
    </row>
    <row r="2833" spans="2:4" ht="12.75">
      <c r="B2833" s="54"/>
      <c r="C2833" s="54" t="s">
        <v>7</v>
      </c>
      <c r="D2833" s="59">
        <v>51404.4</v>
      </c>
    </row>
    <row r="2834" spans="2:4" ht="12.75">
      <c r="B2834" s="54"/>
      <c r="C2834" s="54" t="s">
        <v>33</v>
      </c>
      <c r="D2834" s="59">
        <v>53512.93</v>
      </c>
    </row>
    <row r="2835" spans="2:4" ht="12.75">
      <c r="B2835" s="54"/>
      <c r="C2835" s="54" t="s">
        <v>9</v>
      </c>
      <c r="D2835" s="59">
        <f>D2834-D2833</f>
        <v>2108.529999999999</v>
      </c>
    </row>
    <row r="2836" spans="2:4" ht="12.75">
      <c r="B2836" s="55">
        <v>3</v>
      </c>
      <c r="C2836" s="58" t="s">
        <v>6</v>
      </c>
      <c r="D2836" s="54"/>
    </row>
    <row r="2837" spans="2:4" ht="12.75">
      <c r="B2837" s="55"/>
      <c r="C2837" s="54" t="s">
        <v>7</v>
      </c>
      <c r="D2837" s="59">
        <v>383458.11</v>
      </c>
    </row>
    <row r="2838" spans="2:4" ht="12.75">
      <c r="B2838" s="55"/>
      <c r="C2838" s="54" t="s">
        <v>8</v>
      </c>
      <c r="D2838" s="59">
        <v>398029.08</v>
      </c>
    </row>
    <row r="2839" spans="2:4" ht="12.75">
      <c r="B2839" s="55"/>
      <c r="C2839" s="54" t="s">
        <v>9</v>
      </c>
      <c r="D2839" s="59">
        <f>D2838-D2837</f>
        <v>14570.97000000003</v>
      </c>
    </row>
    <row r="2840" spans="2:4" ht="12.75">
      <c r="B2840" s="55">
        <v>4</v>
      </c>
      <c r="C2840" s="60" t="s">
        <v>10</v>
      </c>
      <c r="D2840" s="55" t="s">
        <v>11</v>
      </c>
    </row>
    <row r="2841" spans="2:4" ht="12.75">
      <c r="B2841" s="61" t="s">
        <v>14</v>
      </c>
      <c r="C2841" s="61"/>
      <c r="D2841" s="59">
        <v>51.77</v>
      </c>
    </row>
    <row r="2842" spans="2:4" ht="12.75" customHeight="1">
      <c r="B2842" s="62" t="s">
        <v>34</v>
      </c>
      <c r="C2842" s="62"/>
      <c r="D2842" s="55">
        <f>D2843+D2844+D2845</f>
        <v>149.94</v>
      </c>
    </row>
    <row r="2843" spans="2:4" ht="12.75">
      <c r="B2843" s="54"/>
      <c r="C2843" s="63" t="s">
        <v>35</v>
      </c>
      <c r="D2843" s="59">
        <v>84.6</v>
      </c>
    </row>
    <row r="2844" spans="2:4" ht="12.75">
      <c r="B2844" s="54"/>
      <c r="C2844" s="63" t="s">
        <v>36</v>
      </c>
      <c r="D2844" s="72">
        <v>64.14</v>
      </c>
    </row>
    <row r="2845" spans="2:4" ht="12.75">
      <c r="B2845" s="61" t="s">
        <v>37</v>
      </c>
      <c r="C2845" s="61"/>
      <c r="D2845" s="72">
        <v>1.2</v>
      </c>
    </row>
    <row r="2846" spans="2:4" ht="12.75" customHeight="1">
      <c r="B2846" s="65" t="s">
        <v>38</v>
      </c>
      <c r="C2846" s="65"/>
      <c r="D2846" s="66">
        <f>D2847+D2849+D2850+D2848</f>
        <v>116.13999999999999</v>
      </c>
    </row>
    <row r="2847" spans="2:4" ht="12.75">
      <c r="B2847" s="54"/>
      <c r="C2847" s="63" t="s">
        <v>15</v>
      </c>
      <c r="D2847" s="54">
        <f>70.1+14.16+6.16+9.07+2.15+0.56+3.91+1.8</f>
        <v>107.90999999999998</v>
      </c>
    </row>
    <row r="2848" spans="2:4" ht="12.75">
      <c r="B2848" s="54"/>
      <c r="C2848" s="63" t="s">
        <v>39</v>
      </c>
      <c r="D2848" s="59">
        <v>6.18</v>
      </c>
    </row>
    <row r="2849" spans="2:4" ht="12.75">
      <c r="B2849" s="54"/>
      <c r="C2849" s="67" t="s">
        <v>40</v>
      </c>
      <c r="D2849" s="59">
        <v>0.93</v>
      </c>
    </row>
    <row r="2850" spans="2:4" ht="12.75">
      <c r="B2850" s="54"/>
      <c r="C2850" s="63" t="s">
        <v>41</v>
      </c>
      <c r="D2850" s="59">
        <f>0.2+0.92</f>
        <v>1.12</v>
      </c>
    </row>
    <row r="2851" spans="2:4" ht="12.75">
      <c r="B2851" s="61" t="s">
        <v>19</v>
      </c>
      <c r="C2851" s="61"/>
      <c r="D2851" s="66">
        <v>11.95</v>
      </c>
    </row>
    <row r="2852" spans="2:4" ht="12.75">
      <c r="B2852" s="68" t="s">
        <v>42</v>
      </c>
      <c r="C2852" s="68"/>
      <c r="D2852" s="66">
        <f>33.44+12.6+0.55</f>
        <v>46.589999999999996</v>
      </c>
    </row>
    <row r="2853" spans="2:4" ht="12.75">
      <c r="B2853" s="54"/>
      <c r="C2853" s="40" t="s">
        <v>21</v>
      </c>
      <c r="D2853" s="66">
        <f>D2841+D2842+D2846+D2851+D2852</f>
        <v>376.39</v>
      </c>
    </row>
    <row r="2854" spans="2:4" ht="12.75">
      <c r="B2854" s="55">
        <v>5</v>
      </c>
      <c r="C2854" s="60" t="s">
        <v>9</v>
      </c>
      <c r="D2854" s="66">
        <f>D2853-D2838/1000</f>
        <v>-21.639080000000035</v>
      </c>
    </row>
    <row r="2855" spans="2:4" ht="12.75">
      <c r="B2855" s="69"/>
      <c r="C2855" s="69"/>
      <c r="D2855" s="69"/>
    </row>
    <row r="2856" spans="2:4" ht="12.75">
      <c r="B2856" s="70" t="s">
        <v>47</v>
      </c>
      <c r="C2856" s="70"/>
      <c r="D2856" s="70"/>
    </row>
    <row r="2858" spans="2:4" ht="12.75">
      <c r="B2858" s="53" t="s">
        <v>0</v>
      </c>
      <c r="C2858" s="53"/>
      <c r="D2858" s="53"/>
    </row>
    <row r="2859" spans="2:4" ht="12.75">
      <c r="B2859" s="53" t="s">
        <v>30</v>
      </c>
      <c r="C2859" s="53"/>
      <c r="D2859" s="53"/>
    </row>
    <row r="2860" spans="2:4" ht="12.75">
      <c r="B2860" s="53" t="s">
        <v>146</v>
      </c>
      <c r="C2860" s="53"/>
      <c r="D2860" s="53"/>
    </row>
    <row r="2861" spans="2:4" ht="12.75">
      <c r="B2861" s="54"/>
      <c r="C2861" s="54" t="s">
        <v>3</v>
      </c>
      <c r="D2861" s="55" t="s">
        <v>4</v>
      </c>
    </row>
    <row r="2862" spans="2:4" ht="12.75">
      <c r="B2862" s="55">
        <v>1</v>
      </c>
      <c r="C2862" s="56" t="s">
        <v>5</v>
      </c>
      <c r="D2862" s="54">
        <v>3180.9</v>
      </c>
    </row>
    <row r="2863" spans="2:4" ht="12.75">
      <c r="B2863" s="55">
        <v>2</v>
      </c>
      <c r="C2863" s="55" t="s">
        <v>32</v>
      </c>
      <c r="D2863" s="54"/>
    </row>
    <row r="2864" spans="2:4" ht="12.75">
      <c r="B2864" s="54"/>
      <c r="C2864" s="54" t="s">
        <v>7</v>
      </c>
      <c r="D2864" s="59"/>
    </row>
    <row r="2865" spans="2:4" ht="12.75">
      <c r="B2865" s="54"/>
      <c r="C2865" s="54" t="s">
        <v>33</v>
      </c>
      <c r="D2865" s="59">
        <v>2872.07</v>
      </c>
    </row>
    <row r="2866" spans="2:4" ht="12.75">
      <c r="B2866" s="54"/>
      <c r="C2866" s="54" t="s">
        <v>9</v>
      </c>
      <c r="D2866" s="59">
        <f>D2865-D2864</f>
        <v>2872.07</v>
      </c>
    </row>
    <row r="2867" spans="2:4" ht="12.75">
      <c r="B2867" s="55">
        <v>3</v>
      </c>
      <c r="C2867" s="58" t="s">
        <v>6</v>
      </c>
      <c r="D2867" s="54"/>
    </row>
    <row r="2868" spans="2:4" ht="12.75">
      <c r="B2868" s="55"/>
      <c r="C2868" s="54" t="s">
        <v>7</v>
      </c>
      <c r="D2868" s="59">
        <v>586186.31</v>
      </c>
    </row>
    <row r="2869" spans="2:4" ht="12.75">
      <c r="B2869" s="55"/>
      <c r="C2869" s="54" t="s">
        <v>8</v>
      </c>
      <c r="D2869" s="59">
        <v>587016.83</v>
      </c>
    </row>
    <row r="2870" spans="2:4" ht="12.75">
      <c r="B2870" s="55"/>
      <c r="C2870" s="54" t="s">
        <v>9</v>
      </c>
      <c r="D2870" s="59">
        <f>D2869-D2868</f>
        <v>830.5199999999022</v>
      </c>
    </row>
    <row r="2871" spans="2:4" ht="12.75">
      <c r="B2871" s="55">
        <v>4</v>
      </c>
      <c r="C2871" s="60" t="s">
        <v>10</v>
      </c>
      <c r="D2871" s="55" t="s">
        <v>11</v>
      </c>
    </row>
    <row r="2872" spans="2:4" ht="12.75">
      <c r="B2872" s="61" t="s">
        <v>14</v>
      </c>
      <c r="C2872" s="61"/>
      <c r="D2872" s="59">
        <v>79.14</v>
      </c>
    </row>
    <row r="2873" spans="2:4" ht="12.75" customHeight="1">
      <c r="B2873" s="62" t="s">
        <v>34</v>
      </c>
      <c r="C2873" s="62"/>
      <c r="D2873" s="55">
        <f>D2874+D2875+D2876</f>
        <v>201.63</v>
      </c>
    </row>
    <row r="2874" spans="2:4" ht="12.75">
      <c r="B2874" s="54"/>
      <c r="C2874" s="63" t="s">
        <v>35</v>
      </c>
      <c r="D2874" s="59">
        <v>123.13</v>
      </c>
    </row>
    <row r="2875" spans="2:4" ht="12.75">
      <c r="B2875" s="54"/>
      <c r="C2875" s="63" t="s">
        <v>36</v>
      </c>
      <c r="D2875" s="72">
        <v>77.3</v>
      </c>
    </row>
    <row r="2876" spans="2:4" ht="12.75">
      <c r="B2876" s="61" t="s">
        <v>37</v>
      </c>
      <c r="C2876" s="61"/>
      <c r="D2876" s="72">
        <v>1.2</v>
      </c>
    </row>
    <row r="2877" spans="2:4" ht="12.75" customHeight="1">
      <c r="B2877" s="65" t="s">
        <v>38</v>
      </c>
      <c r="C2877" s="65"/>
      <c r="D2877" s="66">
        <f>D2878+D2880+D2881+D2879</f>
        <v>206.01999999999998</v>
      </c>
    </row>
    <row r="2878" spans="2:4" ht="12.75">
      <c r="B2878" s="54"/>
      <c r="C2878" s="63" t="s">
        <v>15</v>
      </c>
      <c r="D2878" s="54">
        <f>110.57+22.33+9.71+14.31+0.28+3.13+0.81+14+2.61</f>
        <v>177.75</v>
      </c>
    </row>
    <row r="2879" spans="2:4" ht="12.75">
      <c r="B2879" s="54"/>
      <c r="C2879" s="63" t="s">
        <v>39</v>
      </c>
      <c r="D2879" s="59">
        <v>14.63</v>
      </c>
    </row>
    <row r="2880" spans="2:4" ht="12.75">
      <c r="B2880" s="54"/>
      <c r="C2880" s="67" t="s">
        <v>40</v>
      </c>
      <c r="D2880" s="59">
        <v>0.64</v>
      </c>
    </row>
    <row r="2881" spans="2:4" ht="12.75">
      <c r="B2881" s="54"/>
      <c r="C2881" s="63" t="s">
        <v>41</v>
      </c>
      <c r="D2881" s="59">
        <f>0.3+1.34+11.36</f>
        <v>13</v>
      </c>
    </row>
    <row r="2882" spans="2:4" ht="12.75">
      <c r="B2882" s="61" t="s">
        <v>19</v>
      </c>
      <c r="C2882" s="61"/>
      <c r="D2882" s="66">
        <v>17.61</v>
      </c>
    </row>
    <row r="2883" spans="2:4" ht="12.75">
      <c r="B2883" s="68" t="s">
        <v>42</v>
      </c>
      <c r="C2883" s="68"/>
      <c r="D2883" s="66">
        <f>48.67+18.34+0.8</f>
        <v>67.81</v>
      </c>
    </row>
    <row r="2884" spans="2:4" ht="12.75">
      <c r="B2884" s="54"/>
      <c r="C2884" s="40" t="s">
        <v>21</v>
      </c>
      <c r="D2884" s="66">
        <f>D2872+D2873+D2877+D2882+D2883</f>
        <v>572.21</v>
      </c>
    </row>
    <row r="2885" spans="2:4" ht="12.75">
      <c r="B2885" s="55">
        <v>5</v>
      </c>
      <c r="C2885" s="60" t="s">
        <v>9</v>
      </c>
      <c r="D2885" s="66">
        <f>D2884-D2869/1000</f>
        <v>-14.806829999999877</v>
      </c>
    </row>
    <row r="2886" spans="2:4" ht="12.75">
      <c r="B2886" s="69"/>
      <c r="C2886" s="69"/>
      <c r="D2886" s="69"/>
    </row>
    <row r="2887" spans="2:4" ht="12.75">
      <c r="B2887" s="70" t="s">
        <v>47</v>
      </c>
      <c r="C2887" s="70"/>
      <c r="D2887" s="70"/>
    </row>
    <row r="2889" spans="2:4" ht="12.75">
      <c r="B2889" s="53" t="s">
        <v>0</v>
      </c>
      <c r="C2889" s="53"/>
      <c r="D2889" s="53"/>
    </row>
    <row r="2890" spans="2:4" ht="12.75">
      <c r="B2890" s="53" t="s">
        <v>30</v>
      </c>
      <c r="C2890" s="53"/>
      <c r="D2890" s="53"/>
    </row>
    <row r="2891" spans="2:4" ht="12.75">
      <c r="B2891" s="53" t="s">
        <v>147</v>
      </c>
      <c r="C2891" s="53"/>
      <c r="D2891" s="53"/>
    </row>
    <row r="2892" spans="2:4" ht="12.75">
      <c r="B2892" s="54"/>
      <c r="C2892" s="54" t="s">
        <v>3</v>
      </c>
      <c r="D2892" s="55" t="s">
        <v>4</v>
      </c>
    </row>
    <row r="2893" spans="2:4" ht="12.75">
      <c r="B2893" s="55">
        <v>1</v>
      </c>
      <c r="C2893" s="56" t="s">
        <v>5</v>
      </c>
      <c r="D2893" s="54">
        <v>1524.3</v>
      </c>
    </row>
    <row r="2894" spans="2:4" ht="12.75">
      <c r="B2894" s="55">
        <v>2</v>
      </c>
      <c r="C2894" s="55" t="s">
        <v>32</v>
      </c>
      <c r="D2894" s="54"/>
    </row>
    <row r="2895" spans="2:4" ht="12.75">
      <c r="B2895" s="54"/>
      <c r="C2895" s="54" t="s">
        <v>7</v>
      </c>
      <c r="D2895" s="59">
        <v>8565.1</v>
      </c>
    </row>
    <row r="2896" spans="2:4" ht="12.75">
      <c r="B2896" s="54"/>
      <c r="C2896" s="54" t="s">
        <v>33</v>
      </c>
      <c r="D2896" s="59">
        <v>14637.3</v>
      </c>
    </row>
    <row r="2897" spans="2:4" ht="12.75">
      <c r="B2897" s="54"/>
      <c r="C2897" s="54" t="s">
        <v>9</v>
      </c>
      <c r="D2897" s="59">
        <f>D2896-D2895</f>
        <v>6072.199999999999</v>
      </c>
    </row>
    <row r="2898" spans="2:4" ht="12.75">
      <c r="B2898" s="55">
        <v>3</v>
      </c>
      <c r="C2898" s="58" t="s">
        <v>6</v>
      </c>
      <c r="D2898" s="54"/>
    </row>
    <row r="2899" spans="2:4" ht="12.75">
      <c r="B2899" s="55"/>
      <c r="C2899" s="54" t="s">
        <v>7</v>
      </c>
      <c r="D2899" s="59">
        <v>281039.35</v>
      </c>
    </row>
    <row r="2900" spans="2:4" ht="12.75">
      <c r="B2900" s="55"/>
      <c r="C2900" s="54" t="s">
        <v>8</v>
      </c>
      <c r="D2900" s="59">
        <v>291210.41</v>
      </c>
    </row>
    <row r="2901" spans="2:4" ht="12.75">
      <c r="B2901" s="55"/>
      <c r="C2901" s="54" t="s">
        <v>9</v>
      </c>
      <c r="D2901" s="59">
        <f>D2900-D2899</f>
        <v>10171.059999999998</v>
      </c>
    </row>
    <row r="2902" spans="2:4" ht="12.75">
      <c r="B2902" s="55">
        <v>4</v>
      </c>
      <c r="C2902" s="60" t="s">
        <v>10</v>
      </c>
      <c r="D2902" s="55" t="s">
        <v>11</v>
      </c>
    </row>
    <row r="2903" spans="2:4" ht="12.75">
      <c r="B2903" s="61" t="s">
        <v>14</v>
      </c>
      <c r="C2903" s="61"/>
      <c r="D2903" s="59">
        <v>37.94</v>
      </c>
    </row>
    <row r="2904" spans="2:4" ht="12.75" customHeight="1">
      <c r="B2904" s="62" t="s">
        <v>34</v>
      </c>
      <c r="C2904" s="62"/>
      <c r="D2904" s="55">
        <f>D2905+D2906+D2907</f>
        <v>185.54000000000002</v>
      </c>
    </row>
    <row r="2905" spans="2:4" ht="12.75">
      <c r="B2905" s="54"/>
      <c r="C2905" s="63" t="s">
        <v>35</v>
      </c>
      <c r="D2905" s="59">
        <v>59</v>
      </c>
    </row>
    <row r="2906" spans="2:4" ht="12.75">
      <c r="B2906" s="54"/>
      <c r="C2906" s="63" t="s">
        <v>36</v>
      </c>
      <c r="D2906" s="72">
        <v>126.54</v>
      </c>
    </row>
    <row r="2907" spans="2:4" ht="12.75">
      <c r="B2907" s="61" t="s">
        <v>37</v>
      </c>
      <c r="C2907" s="61"/>
      <c r="D2907" s="72">
        <v>0</v>
      </c>
    </row>
    <row r="2908" spans="2:4" ht="12.75" customHeight="1">
      <c r="B2908" s="65" t="s">
        <v>38</v>
      </c>
      <c r="C2908" s="65"/>
      <c r="D2908" s="66">
        <f>D2909+D2911+D2912+D2910</f>
        <v>130.91</v>
      </c>
    </row>
    <row r="2909" spans="2:4" ht="12.75">
      <c r="B2909" s="54"/>
      <c r="C2909" s="63" t="s">
        <v>15</v>
      </c>
      <c r="D2909" s="54">
        <f>68.2+13.78+6+8.83+1.5+0.39+5.1+13.1+1.25</f>
        <v>118.14999999999999</v>
      </c>
    </row>
    <row r="2910" spans="2:4" ht="12.75">
      <c r="B2910" s="54"/>
      <c r="C2910" s="63" t="s">
        <v>39</v>
      </c>
      <c r="D2910" s="59">
        <v>5.74</v>
      </c>
    </row>
    <row r="2911" spans="2:4" ht="12.75">
      <c r="B2911" s="54"/>
      <c r="C2911" s="67" t="s">
        <v>40</v>
      </c>
      <c r="D2911" s="59">
        <v>0</v>
      </c>
    </row>
    <row r="2912" spans="2:4" ht="12.75">
      <c r="B2912" s="54"/>
      <c r="C2912" s="63" t="s">
        <v>41</v>
      </c>
      <c r="D2912" s="59">
        <f>0.14+0.64+6.24</f>
        <v>7.0200000000000005</v>
      </c>
    </row>
    <row r="2913" spans="2:4" ht="12.75">
      <c r="B2913" s="61" t="s">
        <v>19</v>
      </c>
      <c r="C2913" s="61"/>
      <c r="D2913" s="66">
        <v>8.74</v>
      </c>
    </row>
    <row r="2914" spans="2:4" ht="12.75">
      <c r="B2914" s="68" t="s">
        <v>42</v>
      </c>
      <c r="C2914" s="68"/>
      <c r="D2914" s="66">
        <f>23.32+8.79+0.38</f>
        <v>32.49</v>
      </c>
    </row>
    <row r="2915" spans="2:4" ht="12.75">
      <c r="B2915" s="54"/>
      <c r="C2915" s="40" t="s">
        <v>21</v>
      </c>
      <c r="D2915" s="66">
        <f>D2903+D2904+D2908+D2913+D2914</f>
        <v>395.62</v>
      </c>
    </row>
    <row r="2916" spans="2:4" ht="12.75">
      <c r="B2916" s="55">
        <v>5</v>
      </c>
      <c r="C2916" s="60" t="s">
        <v>9</v>
      </c>
      <c r="D2916" s="66">
        <f>D2915-D2900/1000</f>
        <v>104.40959000000004</v>
      </c>
    </row>
    <row r="2917" spans="2:4" ht="12.75">
      <c r="B2917" s="69"/>
      <c r="C2917" s="69"/>
      <c r="D2917" s="69"/>
    </row>
    <row r="2918" spans="2:4" ht="12.75">
      <c r="B2918" s="70" t="s">
        <v>47</v>
      </c>
      <c r="C2918" s="70"/>
      <c r="D2918" s="70"/>
    </row>
    <row r="2920" spans="2:4" ht="12.75">
      <c r="B2920" s="53" t="s">
        <v>0</v>
      </c>
      <c r="C2920" s="53"/>
      <c r="D2920" s="53"/>
    </row>
    <row r="2921" spans="2:4" ht="12.75">
      <c r="B2921" s="53" t="s">
        <v>30</v>
      </c>
      <c r="C2921" s="53"/>
      <c r="D2921" s="53"/>
    </row>
    <row r="2922" spans="2:4" ht="12.75">
      <c r="B2922" s="53" t="s">
        <v>148</v>
      </c>
      <c r="C2922" s="53"/>
      <c r="D2922" s="53"/>
    </row>
    <row r="2923" spans="2:4" ht="12.75">
      <c r="B2923" s="54"/>
      <c r="C2923" s="54" t="s">
        <v>3</v>
      </c>
      <c r="D2923" s="55" t="s">
        <v>4</v>
      </c>
    </row>
    <row r="2924" spans="2:4" ht="12.75">
      <c r="B2924" s="55">
        <v>1</v>
      </c>
      <c r="C2924" s="56" t="s">
        <v>5</v>
      </c>
      <c r="D2924" s="54">
        <v>1518.63</v>
      </c>
    </row>
    <row r="2925" spans="2:4" ht="12.75">
      <c r="B2925" s="55">
        <v>2</v>
      </c>
      <c r="C2925" s="55" t="s">
        <v>32</v>
      </c>
      <c r="D2925" s="54"/>
    </row>
    <row r="2926" spans="2:4" ht="12.75">
      <c r="B2926" s="54"/>
      <c r="C2926" s="54" t="s">
        <v>7</v>
      </c>
      <c r="D2926" s="59"/>
    </row>
    <row r="2927" spans="2:4" ht="12.75">
      <c r="B2927" s="54"/>
      <c r="C2927" s="54" t="s">
        <v>33</v>
      </c>
      <c r="D2927" s="59">
        <v>2145.26</v>
      </c>
    </row>
    <row r="2928" spans="2:4" ht="12.75">
      <c r="B2928" s="54"/>
      <c r="C2928" s="54" t="s">
        <v>9</v>
      </c>
      <c r="D2928" s="59">
        <f>D2927-D2926</f>
        <v>2145.26</v>
      </c>
    </row>
    <row r="2929" spans="2:4" ht="12.75">
      <c r="B2929" s="55">
        <v>3</v>
      </c>
      <c r="C2929" s="58" t="s">
        <v>6</v>
      </c>
      <c r="D2929" s="54"/>
    </row>
    <row r="2930" spans="2:4" ht="12.75">
      <c r="B2930" s="55"/>
      <c r="C2930" s="54" t="s">
        <v>7</v>
      </c>
      <c r="D2930" s="59">
        <v>280787.85</v>
      </c>
    </row>
    <row r="2931" spans="2:4" ht="12.75">
      <c r="B2931" s="55"/>
      <c r="C2931" s="54" t="s">
        <v>8</v>
      </c>
      <c r="D2931" s="59">
        <v>292530.83</v>
      </c>
    </row>
    <row r="2932" spans="2:4" ht="12.75">
      <c r="B2932" s="55"/>
      <c r="C2932" s="54" t="s">
        <v>9</v>
      </c>
      <c r="D2932" s="59">
        <f>D2931-D2930</f>
        <v>11742.98000000004</v>
      </c>
    </row>
    <row r="2933" spans="2:4" ht="12.75">
      <c r="B2933" s="55">
        <v>4</v>
      </c>
      <c r="C2933" s="60" t="s">
        <v>10</v>
      </c>
      <c r="D2933" s="55" t="s">
        <v>11</v>
      </c>
    </row>
    <row r="2934" spans="2:4" ht="12.75">
      <c r="B2934" s="61" t="s">
        <v>14</v>
      </c>
      <c r="C2934" s="61"/>
      <c r="D2934" s="59">
        <v>37.91</v>
      </c>
    </row>
    <row r="2935" spans="2:4" ht="12.75" customHeight="1">
      <c r="B2935" s="62" t="s">
        <v>34</v>
      </c>
      <c r="C2935" s="62"/>
      <c r="D2935" s="55">
        <f>D2936+D2937+D2938</f>
        <v>108.95</v>
      </c>
    </row>
    <row r="2936" spans="2:4" ht="12.75">
      <c r="B2936" s="54"/>
      <c r="C2936" s="63" t="s">
        <v>35</v>
      </c>
      <c r="D2936" s="59">
        <v>58.78</v>
      </c>
    </row>
    <row r="2937" spans="2:4" ht="12.75">
      <c r="B2937" s="54"/>
      <c r="C2937" s="63" t="s">
        <v>36</v>
      </c>
      <c r="D2937" s="72">
        <v>50.17</v>
      </c>
    </row>
    <row r="2938" spans="2:4" ht="12.75">
      <c r="B2938" s="61" t="s">
        <v>37</v>
      </c>
      <c r="C2938" s="61"/>
      <c r="D2938" s="72">
        <v>0</v>
      </c>
    </row>
    <row r="2939" spans="2:4" ht="12.75" customHeight="1">
      <c r="B2939" s="65" t="s">
        <v>38</v>
      </c>
      <c r="C2939" s="65"/>
      <c r="D2939" s="66">
        <f>D2940+D2942+D2943+D2941</f>
        <v>132.60000000000002</v>
      </c>
    </row>
    <row r="2940" spans="2:4" ht="12.75">
      <c r="B2940" s="54"/>
      <c r="C2940" s="63" t="s">
        <v>15</v>
      </c>
      <c r="D2940" s="54">
        <f>72.88+14.72+6.4+9.43+1.5+0.38+1.5+9.4+1.25</f>
        <v>117.46000000000001</v>
      </c>
    </row>
    <row r="2941" spans="2:4" ht="12.75">
      <c r="B2941" s="54"/>
      <c r="C2941" s="63" t="s">
        <v>39</v>
      </c>
      <c r="D2941" s="59">
        <v>6.41</v>
      </c>
    </row>
    <row r="2942" spans="2:4" ht="12.75">
      <c r="B2942" s="54"/>
      <c r="C2942" s="67" t="s">
        <v>40</v>
      </c>
      <c r="D2942" s="59">
        <v>0</v>
      </c>
    </row>
    <row r="2943" spans="2:4" ht="12.75">
      <c r="B2943" s="54"/>
      <c r="C2943" s="63" t="s">
        <v>41</v>
      </c>
      <c r="D2943" s="59">
        <f>0.14+0.64+7.95</f>
        <v>8.73</v>
      </c>
    </row>
    <row r="2944" spans="2:4" ht="12.75">
      <c r="B2944" s="61" t="s">
        <v>19</v>
      </c>
      <c r="C2944" s="61"/>
      <c r="D2944" s="66">
        <v>8.76</v>
      </c>
    </row>
    <row r="2945" spans="2:4" ht="12.75">
      <c r="B2945" s="68" t="s">
        <v>42</v>
      </c>
      <c r="C2945" s="68"/>
      <c r="D2945" s="66">
        <f>23.24+8.76+0.38</f>
        <v>32.38</v>
      </c>
    </row>
    <row r="2946" spans="2:4" ht="12.75">
      <c r="B2946" s="54"/>
      <c r="C2946" s="40" t="s">
        <v>21</v>
      </c>
      <c r="D2946" s="66">
        <f>D2934+D2935+D2939+D2944+D2945</f>
        <v>320.6</v>
      </c>
    </row>
    <row r="2947" spans="2:4" ht="12.75">
      <c r="B2947" s="55">
        <v>5</v>
      </c>
      <c r="C2947" s="60" t="s">
        <v>9</v>
      </c>
      <c r="D2947" s="66">
        <f>D2946-D2931/1000</f>
        <v>28.069169999999986</v>
      </c>
    </row>
    <row r="2948" spans="2:4" ht="12.75">
      <c r="B2948" s="69"/>
      <c r="C2948" s="69"/>
      <c r="D2948" s="69"/>
    </row>
    <row r="2949" spans="2:4" ht="12.75">
      <c r="B2949" s="70" t="s">
        <v>47</v>
      </c>
      <c r="C2949" s="70"/>
      <c r="D2949" s="70"/>
    </row>
    <row r="2951" spans="2:4" ht="12.75">
      <c r="B2951" s="53" t="s">
        <v>0</v>
      </c>
      <c r="C2951" s="53"/>
      <c r="D2951" s="53"/>
    </row>
    <row r="2952" spans="2:4" ht="12.75">
      <c r="B2952" s="53" t="s">
        <v>30</v>
      </c>
      <c r="C2952" s="53"/>
      <c r="D2952" s="53"/>
    </row>
    <row r="2953" spans="2:4" ht="12.75">
      <c r="B2953" s="53" t="s">
        <v>149</v>
      </c>
      <c r="C2953" s="53"/>
      <c r="D2953" s="53"/>
    </row>
    <row r="2954" spans="2:4" ht="12.75">
      <c r="B2954" s="54"/>
      <c r="C2954" s="54" t="s">
        <v>3</v>
      </c>
      <c r="D2954" s="55" t="s">
        <v>4</v>
      </c>
    </row>
    <row r="2955" spans="2:4" ht="12.75">
      <c r="B2955" s="55">
        <v>1</v>
      </c>
      <c r="C2955" s="56" t="s">
        <v>5</v>
      </c>
      <c r="D2955" s="54">
        <v>1488.07</v>
      </c>
    </row>
    <row r="2956" spans="2:4" ht="12.75">
      <c r="B2956" s="55">
        <v>2</v>
      </c>
      <c r="C2956" s="55" t="s">
        <v>32</v>
      </c>
      <c r="D2956" s="54"/>
    </row>
    <row r="2957" spans="2:4" ht="12.75">
      <c r="B2957" s="54"/>
      <c r="C2957" s="54" t="s">
        <v>7</v>
      </c>
      <c r="D2957" s="59">
        <v>0</v>
      </c>
    </row>
    <row r="2958" spans="2:4" ht="12.75">
      <c r="B2958" s="54"/>
      <c r="C2958" s="54" t="s">
        <v>33</v>
      </c>
      <c r="D2958" s="59">
        <v>335.23</v>
      </c>
    </row>
    <row r="2959" spans="2:4" ht="12.75">
      <c r="B2959" s="54"/>
      <c r="C2959" s="54" t="s">
        <v>9</v>
      </c>
      <c r="D2959" s="59">
        <f>D2958-D2957</f>
        <v>335.23</v>
      </c>
    </row>
    <row r="2960" spans="2:4" ht="12.75">
      <c r="B2960" s="55">
        <v>3</v>
      </c>
      <c r="C2960" s="58" t="s">
        <v>6</v>
      </c>
      <c r="D2960" s="54"/>
    </row>
    <row r="2961" spans="2:4" ht="12.75">
      <c r="B2961" s="55"/>
      <c r="C2961" s="54" t="s">
        <v>7</v>
      </c>
      <c r="D2961" s="59">
        <v>274213.21</v>
      </c>
    </row>
    <row r="2962" spans="2:4" ht="12.75">
      <c r="B2962" s="55"/>
      <c r="C2962" s="54" t="s">
        <v>8</v>
      </c>
      <c r="D2962" s="59">
        <v>253635.66</v>
      </c>
    </row>
    <row r="2963" spans="2:4" ht="12.75">
      <c r="B2963" s="55"/>
      <c r="C2963" s="54" t="s">
        <v>9</v>
      </c>
      <c r="D2963" s="59">
        <f>D2962-D2961</f>
        <v>-20577.550000000017</v>
      </c>
    </row>
    <row r="2964" spans="2:4" ht="12.75">
      <c r="B2964" s="55">
        <v>4</v>
      </c>
      <c r="C2964" s="60" t="s">
        <v>10</v>
      </c>
      <c r="D2964" s="55" t="s">
        <v>11</v>
      </c>
    </row>
    <row r="2965" spans="2:4" ht="12.75">
      <c r="B2965" s="61" t="s">
        <v>14</v>
      </c>
      <c r="C2965" s="61"/>
      <c r="D2965" s="59">
        <v>37.02</v>
      </c>
    </row>
    <row r="2966" spans="2:4" ht="12.75" customHeight="1">
      <c r="B2966" s="62" t="s">
        <v>34</v>
      </c>
      <c r="C2966" s="62"/>
      <c r="D2966" s="55">
        <f>D2967+D2968+D2969</f>
        <v>76.06</v>
      </c>
    </row>
    <row r="2967" spans="2:4" ht="12.75">
      <c r="B2967" s="54"/>
      <c r="C2967" s="63" t="s">
        <v>35</v>
      </c>
      <c r="D2967" s="59">
        <v>57.6</v>
      </c>
    </row>
    <row r="2968" spans="2:4" ht="12.75">
      <c r="B2968" s="54"/>
      <c r="C2968" s="63" t="s">
        <v>36</v>
      </c>
      <c r="D2968" s="72">
        <v>18.46</v>
      </c>
    </row>
    <row r="2969" spans="2:4" ht="12.75">
      <c r="B2969" s="61" t="s">
        <v>37</v>
      </c>
      <c r="C2969" s="61"/>
      <c r="D2969" s="72">
        <v>0</v>
      </c>
    </row>
    <row r="2970" spans="2:4" ht="12.75" customHeight="1">
      <c r="B2970" s="65" t="s">
        <v>38</v>
      </c>
      <c r="C2970" s="65"/>
      <c r="D2970" s="66">
        <f>D2971+D2973+D2974+D2972</f>
        <v>126.86</v>
      </c>
    </row>
    <row r="2971" spans="2:4" ht="12.75">
      <c r="B2971" s="54"/>
      <c r="C2971" s="63" t="s">
        <v>15</v>
      </c>
      <c r="D2971" s="54">
        <f>75.2+15.2+9.74+1.47+0.38+3.14+1.22+6.61</f>
        <v>112.96</v>
      </c>
    </row>
    <row r="2972" spans="2:4" ht="12.75">
      <c r="B2972" s="54"/>
      <c r="C2972" s="63" t="s">
        <v>39</v>
      </c>
      <c r="D2972" s="59">
        <v>6.53</v>
      </c>
    </row>
    <row r="2973" spans="2:4" ht="12.75">
      <c r="B2973" s="54"/>
      <c r="C2973" s="67" t="s">
        <v>40</v>
      </c>
      <c r="D2973" s="59">
        <v>0</v>
      </c>
    </row>
    <row r="2974" spans="2:4" ht="12.75">
      <c r="B2974" s="54"/>
      <c r="C2974" s="63" t="s">
        <v>41</v>
      </c>
      <c r="D2974" s="59">
        <f>0.14+0.63+6.6</f>
        <v>7.369999999999999</v>
      </c>
    </row>
    <row r="2975" spans="2:4" ht="12.75">
      <c r="B2975" s="61" t="s">
        <v>19</v>
      </c>
      <c r="C2975" s="61"/>
      <c r="D2975" s="66">
        <v>7.61</v>
      </c>
    </row>
    <row r="2976" spans="2:4" ht="12.75">
      <c r="B2976" s="68" t="s">
        <v>42</v>
      </c>
      <c r="C2976" s="68"/>
      <c r="D2976" s="66">
        <f>22.77+8.58+0.37</f>
        <v>31.720000000000002</v>
      </c>
    </row>
    <row r="2977" spans="2:4" ht="12.75">
      <c r="B2977" s="54"/>
      <c r="C2977" s="40" t="s">
        <v>21</v>
      </c>
      <c r="D2977" s="66">
        <f>D2965+D2966+D2970+D2975+D2976</f>
        <v>279.27000000000004</v>
      </c>
    </row>
    <row r="2978" spans="2:4" ht="12.75">
      <c r="B2978" s="55">
        <v>5</v>
      </c>
      <c r="C2978" s="60" t="s">
        <v>9</v>
      </c>
      <c r="D2978" s="66">
        <f>D2977-D2962/1000</f>
        <v>25.634340000000037</v>
      </c>
    </row>
    <row r="2979" spans="2:4" ht="12.75">
      <c r="B2979" s="69"/>
      <c r="C2979" s="69"/>
      <c r="D2979" s="69"/>
    </row>
    <row r="2980" spans="2:4" ht="12.75">
      <c r="B2980" s="70" t="s">
        <v>47</v>
      </c>
      <c r="C2980" s="70"/>
      <c r="D2980" s="70"/>
    </row>
    <row r="2982" spans="2:4" ht="12.75">
      <c r="B2982" s="53" t="s">
        <v>0</v>
      </c>
      <c r="C2982" s="53"/>
      <c r="D2982" s="53"/>
    </row>
    <row r="2983" spans="2:4" ht="12.75">
      <c r="B2983" s="53" t="s">
        <v>30</v>
      </c>
      <c r="C2983" s="53"/>
      <c r="D2983" s="53"/>
    </row>
    <row r="2984" spans="2:4" ht="12.75">
      <c r="B2984" s="53" t="s">
        <v>150</v>
      </c>
      <c r="C2984" s="53"/>
      <c r="D2984" s="53"/>
    </row>
    <row r="2985" spans="2:4" ht="12.75">
      <c r="B2985" s="54"/>
      <c r="C2985" s="54" t="s">
        <v>3</v>
      </c>
      <c r="D2985" s="55" t="s">
        <v>4</v>
      </c>
    </row>
    <row r="2986" spans="2:4" ht="12.75">
      <c r="B2986" s="55">
        <v>1</v>
      </c>
      <c r="C2986" s="56" t="s">
        <v>5</v>
      </c>
      <c r="D2986" s="54">
        <v>406</v>
      </c>
    </row>
    <row r="2987" spans="2:4" ht="12.75">
      <c r="B2987" s="55">
        <v>2</v>
      </c>
      <c r="C2987" s="55" t="s">
        <v>32</v>
      </c>
      <c r="D2987" s="54"/>
    </row>
    <row r="2988" spans="2:4" ht="12.75">
      <c r="B2988" s="54"/>
      <c r="C2988" s="54" t="s">
        <v>7</v>
      </c>
      <c r="D2988" s="59">
        <v>0</v>
      </c>
    </row>
    <row r="2989" spans="2:4" ht="12.75">
      <c r="B2989" s="54"/>
      <c r="C2989" s="54" t="s">
        <v>33</v>
      </c>
      <c r="D2989" s="59">
        <v>490.09</v>
      </c>
    </row>
    <row r="2990" spans="2:4" ht="12.75">
      <c r="B2990" s="54"/>
      <c r="C2990" s="54" t="s">
        <v>9</v>
      </c>
      <c r="D2990" s="59">
        <f>D2989-D2988</f>
        <v>490.09</v>
      </c>
    </row>
    <row r="2991" spans="2:4" ht="12.75">
      <c r="B2991" s="55">
        <v>3</v>
      </c>
      <c r="C2991" s="58" t="s">
        <v>6</v>
      </c>
      <c r="D2991" s="54"/>
    </row>
    <row r="2992" spans="2:4" ht="12.75">
      <c r="B2992" s="55"/>
      <c r="C2992" s="54" t="s">
        <v>7</v>
      </c>
      <c r="D2992" s="59">
        <v>74928.92</v>
      </c>
    </row>
    <row r="2993" spans="2:4" ht="12.75">
      <c r="B2993" s="55"/>
      <c r="C2993" s="54" t="s">
        <v>8</v>
      </c>
      <c r="D2993" s="59">
        <v>75292.89</v>
      </c>
    </row>
    <row r="2994" spans="2:4" ht="12.75">
      <c r="B2994" s="55"/>
      <c r="C2994" s="54" t="s">
        <v>9</v>
      </c>
      <c r="D2994" s="59">
        <f>D2993-D2992</f>
        <v>363.97000000000116</v>
      </c>
    </row>
    <row r="2995" spans="2:4" ht="12.75">
      <c r="B2995" s="55">
        <v>4</v>
      </c>
      <c r="C2995" s="60" t="s">
        <v>10</v>
      </c>
      <c r="D2995" s="55" t="s">
        <v>11</v>
      </c>
    </row>
    <row r="2996" spans="2:4" ht="12.75">
      <c r="B2996" s="61" t="s">
        <v>14</v>
      </c>
      <c r="C2996" s="61"/>
      <c r="D2996" s="59">
        <v>10.11</v>
      </c>
    </row>
    <row r="2997" spans="2:4" ht="12.75" customHeight="1">
      <c r="B2997" s="62" t="s">
        <v>34</v>
      </c>
      <c r="C2997" s="62"/>
      <c r="D2997" s="55">
        <f>D2998+D2999+D3000</f>
        <v>28.060000000000002</v>
      </c>
    </row>
    <row r="2998" spans="2:4" ht="12.75">
      <c r="B2998" s="54"/>
      <c r="C2998" s="63" t="s">
        <v>35</v>
      </c>
      <c r="D2998" s="59">
        <v>15.72</v>
      </c>
    </row>
    <row r="2999" spans="2:4" ht="12.75">
      <c r="B2999" s="54"/>
      <c r="C2999" s="63" t="s">
        <v>36</v>
      </c>
      <c r="D2999" s="72">
        <v>12.34</v>
      </c>
    </row>
    <row r="3000" spans="2:4" ht="12.75">
      <c r="B3000" s="61" t="s">
        <v>37</v>
      </c>
      <c r="C3000" s="61"/>
      <c r="D3000" s="72">
        <v>0</v>
      </c>
    </row>
    <row r="3001" spans="2:4" ht="12.75" customHeight="1">
      <c r="B3001" s="65" t="s">
        <v>38</v>
      </c>
      <c r="C3001" s="65"/>
      <c r="D3001" s="66">
        <f>D3002+D3004+D3005+D3003</f>
        <v>22.669999999999998</v>
      </c>
    </row>
    <row r="3002" spans="2:4" ht="12.75">
      <c r="B3002" s="54"/>
      <c r="C3002" s="63" t="s">
        <v>15</v>
      </c>
      <c r="D3002" s="54">
        <f>14.82+3+1.3+1.92+0.4+0.1+0.43+0.33</f>
        <v>22.299999999999997</v>
      </c>
    </row>
    <row r="3003" spans="2:4" ht="12.75">
      <c r="B3003" s="54"/>
      <c r="C3003" s="63" t="s">
        <v>39</v>
      </c>
      <c r="D3003" s="59">
        <v>0.16</v>
      </c>
    </row>
    <row r="3004" spans="2:4" ht="12.75">
      <c r="B3004" s="54"/>
      <c r="C3004" s="67" t="s">
        <v>40</v>
      </c>
      <c r="D3004" s="59">
        <v>0</v>
      </c>
    </row>
    <row r="3005" spans="2:4" ht="12.75">
      <c r="B3005" s="54"/>
      <c r="C3005" s="63" t="s">
        <v>41</v>
      </c>
      <c r="D3005" s="59">
        <f>0.04+0.17</f>
        <v>0.21000000000000002</v>
      </c>
    </row>
    <row r="3006" spans="2:4" ht="12.75">
      <c r="B3006" s="61" t="s">
        <v>19</v>
      </c>
      <c r="C3006" s="61"/>
      <c r="D3006" s="66">
        <v>2.26</v>
      </c>
    </row>
    <row r="3007" spans="2:4" ht="12.75">
      <c r="B3007" s="68" t="s">
        <v>42</v>
      </c>
      <c r="C3007" s="68"/>
      <c r="D3007" s="66">
        <f>6.21+2.34+0.1</f>
        <v>8.65</v>
      </c>
    </row>
    <row r="3008" spans="2:4" ht="12.75">
      <c r="B3008" s="54"/>
      <c r="C3008" s="40" t="s">
        <v>21</v>
      </c>
      <c r="D3008" s="66">
        <f>D2996+D2997+D3001+D3006+D3007</f>
        <v>71.75</v>
      </c>
    </row>
    <row r="3009" spans="2:4" ht="12.75">
      <c r="B3009" s="55">
        <v>5</v>
      </c>
      <c r="C3009" s="60" t="s">
        <v>9</v>
      </c>
      <c r="D3009" s="66">
        <f>D3008-D2993/1000</f>
        <v>-3.54289</v>
      </c>
    </row>
    <row r="3010" spans="2:4" ht="12.75">
      <c r="B3010" s="69"/>
      <c r="C3010" s="69"/>
      <c r="D3010" s="69"/>
    </row>
    <row r="3011" spans="2:4" ht="12.75">
      <c r="B3011" s="70" t="s">
        <v>47</v>
      </c>
      <c r="C3011" s="70"/>
      <c r="D3011" s="70"/>
    </row>
    <row r="3013" spans="2:4" ht="12.75">
      <c r="B3013" s="53" t="s">
        <v>0</v>
      </c>
      <c r="C3013" s="53"/>
      <c r="D3013" s="53"/>
    </row>
    <row r="3014" spans="2:4" ht="12.75">
      <c r="B3014" s="53" t="s">
        <v>30</v>
      </c>
      <c r="C3014" s="53"/>
      <c r="D3014" s="53"/>
    </row>
    <row r="3015" spans="2:4" ht="12.75">
      <c r="B3015" s="53" t="s">
        <v>151</v>
      </c>
      <c r="C3015" s="53"/>
      <c r="D3015" s="53"/>
    </row>
    <row r="3016" spans="2:4" ht="12.75">
      <c r="B3016" s="54"/>
      <c r="C3016" s="54" t="s">
        <v>3</v>
      </c>
      <c r="D3016" s="55" t="s">
        <v>4</v>
      </c>
    </row>
    <row r="3017" spans="2:4" ht="12.75">
      <c r="B3017" s="55">
        <v>1</v>
      </c>
      <c r="C3017" s="56" t="s">
        <v>5</v>
      </c>
      <c r="D3017" s="54">
        <v>389.65</v>
      </c>
    </row>
    <row r="3018" spans="2:4" ht="12.75">
      <c r="B3018" s="55">
        <v>2</v>
      </c>
      <c r="C3018" s="58" t="s">
        <v>6</v>
      </c>
      <c r="D3018" s="54"/>
    </row>
    <row r="3019" spans="2:4" ht="12.75">
      <c r="B3019" s="55"/>
      <c r="C3019" s="54" t="s">
        <v>7</v>
      </c>
      <c r="D3019" s="59">
        <v>70953.84</v>
      </c>
    </row>
    <row r="3020" spans="2:4" ht="12.75">
      <c r="B3020" s="55"/>
      <c r="C3020" s="54" t="s">
        <v>8</v>
      </c>
      <c r="D3020" s="59">
        <v>82403.31</v>
      </c>
    </row>
    <row r="3021" spans="2:4" ht="12.75">
      <c r="B3021" s="55"/>
      <c r="C3021" s="54" t="s">
        <v>9</v>
      </c>
      <c r="D3021" s="59">
        <f>D3020-D3019</f>
        <v>11449.470000000001</v>
      </c>
    </row>
    <row r="3022" spans="2:4" ht="12.75">
      <c r="B3022" s="55">
        <v>3</v>
      </c>
      <c r="C3022" s="60" t="s">
        <v>10</v>
      </c>
      <c r="D3022" s="55" t="s">
        <v>11</v>
      </c>
    </row>
    <row r="3023" spans="2:4" ht="12.75">
      <c r="B3023" s="61" t="s">
        <v>14</v>
      </c>
      <c r="C3023" s="61"/>
      <c r="D3023" s="59">
        <v>9.58</v>
      </c>
    </row>
    <row r="3024" spans="2:4" ht="12.75" customHeight="1">
      <c r="B3024" s="62" t="s">
        <v>34</v>
      </c>
      <c r="C3024" s="62"/>
      <c r="D3024" s="55">
        <f>D3025+D3026+D3027</f>
        <v>31.12</v>
      </c>
    </row>
    <row r="3025" spans="2:4" ht="12.75">
      <c r="B3025" s="54"/>
      <c r="C3025" s="63" t="s">
        <v>35</v>
      </c>
      <c r="D3025" s="59">
        <v>15.1</v>
      </c>
    </row>
    <row r="3026" spans="2:4" ht="12.75">
      <c r="B3026" s="54"/>
      <c r="C3026" s="63" t="s">
        <v>36</v>
      </c>
      <c r="D3026" s="72">
        <v>12.42</v>
      </c>
    </row>
    <row r="3027" spans="2:4" ht="12.75">
      <c r="B3027" s="61" t="s">
        <v>37</v>
      </c>
      <c r="C3027" s="61"/>
      <c r="D3027" s="72">
        <v>3.6</v>
      </c>
    </row>
    <row r="3028" spans="2:4" ht="12.75" customHeight="1">
      <c r="B3028" s="65" t="s">
        <v>38</v>
      </c>
      <c r="C3028" s="65"/>
      <c r="D3028" s="66">
        <f>D3029+D3031+D3032+D3030</f>
        <v>24.88</v>
      </c>
    </row>
    <row r="3029" spans="2:4" ht="12.75">
      <c r="B3029" s="54"/>
      <c r="C3029" s="63" t="s">
        <v>15</v>
      </c>
      <c r="D3029" s="54">
        <f>16.68+3.37+1.47+2.16+0.38+0.1+0.32</f>
        <v>24.48</v>
      </c>
    </row>
    <row r="3030" spans="2:4" ht="12.75">
      <c r="B3030" s="54"/>
      <c r="C3030" s="63" t="s">
        <v>39</v>
      </c>
      <c r="D3030" s="59">
        <v>0.24</v>
      </c>
    </row>
    <row r="3031" spans="2:4" ht="12.75">
      <c r="B3031" s="54"/>
      <c r="C3031" s="67" t="s">
        <v>40</v>
      </c>
      <c r="D3031" s="59">
        <v>0</v>
      </c>
    </row>
    <row r="3032" spans="2:4" ht="12.75">
      <c r="B3032" s="54"/>
      <c r="C3032" s="63" t="s">
        <v>41</v>
      </c>
      <c r="D3032" s="59">
        <v>0.16</v>
      </c>
    </row>
    <row r="3033" spans="2:4" ht="12.75">
      <c r="B3033" s="61" t="s">
        <v>19</v>
      </c>
      <c r="C3033" s="61"/>
      <c r="D3033" s="66">
        <v>2.45</v>
      </c>
    </row>
    <row r="3034" spans="2:4" ht="12.75">
      <c r="B3034" s="68" t="s">
        <v>42</v>
      </c>
      <c r="C3034" s="68"/>
      <c r="D3034" s="66">
        <f>5.96+2.25+0.1</f>
        <v>8.31</v>
      </c>
    </row>
    <row r="3035" spans="2:4" ht="12.75">
      <c r="B3035" s="54"/>
      <c r="C3035" s="40" t="s">
        <v>21</v>
      </c>
      <c r="D3035" s="66">
        <f>D3023+D3024+D3028+D3033+D3034</f>
        <v>76.34</v>
      </c>
    </row>
    <row r="3036" spans="2:4" ht="12.75">
      <c r="B3036" s="55">
        <v>4</v>
      </c>
      <c r="C3036" s="60" t="s">
        <v>9</v>
      </c>
      <c r="D3036" s="66">
        <f>D3035-D3020/1000</f>
        <v>-6.063310000000001</v>
      </c>
    </row>
    <row r="3037" spans="2:4" ht="12.75">
      <c r="B3037" s="69"/>
      <c r="C3037" s="69"/>
      <c r="D3037" s="69"/>
    </row>
    <row r="3038" spans="2:4" ht="12.75">
      <c r="B3038" s="70" t="s">
        <v>47</v>
      </c>
      <c r="C3038" s="70"/>
      <c r="D3038" s="70"/>
    </row>
    <row r="3040" spans="2:4" ht="12.75">
      <c r="B3040" s="53" t="s">
        <v>0</v>
      </c>
      <c r="C3040" s="53"/>
      <c r="D3040" s="53"/>
    </row>
    <row r="3041" spans="2:4" ht="12.75">
      <c r="B3041" s="53" t="s">
        <v>30</v>
      </c>
      <c r="C3041" s="53"/>
      <c r="D3041" s="53"/>
    </row>
    <row r="3042" spans="2:4" ht="12.75">
      <c r="B3042" s="53" t="s">
        <v>152</v>
      </c>
      <c r="C3042" s="53"/>
      <c r="D3042" s="53"/>
    </row>
    <row r="3043" spans="2:4" ht="12.75">
      <c r="B3043" s="54"/>
      <c r="C3043" s="54" t="s">
        <v>3</v>
      </c>
      <c r="D3043" s="55" t="s">
        <v>4</v>
      </c>
    </row>
    <row r="3044" spans="2:4" ht="12.75">
      <c r="B3044" s="55">
        <v>1</v>
      </c>
      <c r="C3044" s="56" t="s">
        <v>5</v>
      </c>
      <c r="D3044" s="54">
        <v>363.9</v>
      </c>
    </row>
    <row r="3045" spans="2:4" ht="12.75">
      <c r="B3045" s="55">
        <v>2</v>
      </c>
      <c r="C3045" s="55" t="s">
        <v>32</v>
      </c>
      <c r="D3045" s="54"/>
    </row>
    <row r="3046" spans="2:4" ht="12.75">
      <c r="B3046" s="54"/>
      <c r="C3046" s="54" t="s">
        <v>7</v>
      </c>
      <c r="D3046" s="59">
        <v>3844.63</v>
      </c>
    </row>
    <row r="3047" spans="2:4" ht="12.75">
      <c r="B3047" s="54"/>
      <c r="C3047" s="54" t="s">
        <v>33</v>
      </c>
      <c r="D3047" s="59">
        <v>4465.14</v>
      </c>
    </row>
    <row r="3048" spans="2:4" ht="12.75">
      <c r="B3048" s="54"/>
      <c r="C3048" s="54" t="s">
        <v>9</v>
      </c>
      <c r="D3048" s="59">
        <f>D3047-D3046</f>
        <v>620.5100000000002</v>
      </c>
    </row>
    <row r="3049" spans="2:4" ht="12.75">
      <c r="B3049" s="55">
        <v>3</v>
      </c>
      <c r="C3049" s="58" t="s">
        <v>6</v>
      </c>
      <c r="D3049" s="54"/>
    </row>
    <row r="3050" spans="2:4" ht="12.75">
      <c r="B3050" s="55"/>
      <c r="C3050" s="54" t="s">
        <v>7</v>
      </c>
      <c r="D3050" s="59">
        <v>60076.38</v>
      </c>
    </row>
    <row r="3051" spans="2:4" ht="12.75">
      <c r="B3051" s="55"/>
      <c r="C3051" s="54" t="s">
        <v>8</v>
      </c>
      <c r="D3051" s="59">
        <v>51455.4</v>
      </c>
    </row>
    <row r="3052" spans="2:4" ht="12.75">
      <c r="B3052" s="55"/>
      <c r="C3052" s="54" t="s">
        <v>9</v>
      </c>
      <c r="D3052" s="59">
        <f>D3051-D3050</f>
        <v>-8620.979999999996</v>
      </c>
    </row>
    <row r="3053" spans="2:4" ht="12.75">
      <c r="B3053" s="55">
        <v>4</v>
      </c>
      <c r="C3053" s="60" t="s">
        <v>10</v>
      </c>
      <c r="D3053" s="55" t="s">
        <v>11</v>
      </c>
    </row>
    <row r="3054" spans="2:4" ht="12.75">
      <c r="B3054" s="61" t="s">
        <v>14</v>
      </c>
      <c r="C3054" s="61"/>
      <c r="D3054" s="59">
        <v>8.11</v>
      </c>
    </row>
    <row r="3055" spans="2:4" ht="12.75" customHeight="1">
      <c r="B3055" s="62" t="s">
        <v>34</v>
      </c>
      <c r="C3055" s="62"/>
      <c r="D3055" s="55">
        <f>D3056+D3057+D3058</f>
        <v>18.63</v>
      </c>
    </row>
    <row r="3056" spans="2:4" ht="12.75">
      <c r="B3056" s="54"/>
      <c r="C3056" s="63" t="s">
        <v>35</v>
      </c>
      <c r="D3056" s="59">
        <v>14.1</v>
      </c>
    </row>
    <row r="3057" spans="2:4" ht="12.75">
      <c r="B3057" s="54"/>
      <c r="C3057" s="63" t="s">
        <v>36</v>
      </c>
      <c r="D3057" s="72">
        <v>4.53</v>
      </c>
    </row>
    <row r="3058" spans="2:4" ht="12.75">
      <c r="B3058" s="61" t="s">
        <v>37</v>
      </c>
      <c r="C3058" s="61"/>
      <c r="D3058" s="72">
        <v>0</v>
      </c>
    </row>
    <row r="3059" spans="2:4" ht="12.75" customHeight="1">
      <c r="B3059" s="65" t="s">
        <v>38</v>
      </c>
      <c r="C3059" s="65"/>
      <c r="D3059" s="66">
        <f>D3060+D3062+D3063+D3061</f>
        <v>2.31</v>
      </c>
    </row>
    <row r="3060" spans="2:4" ht="12.75">
      <c r="B3060" s="54"/>
      <c r="C3060" s="63" t="s">
        <v>15</v>
      </c>
      <c r="D3060" s="54">
        <f>0.36+0.09+1.37+0.3</f>
        <v>2.12</v>
      </c>
    </row>
    <row r="3061" spans="2:4" ht="12.75">
      <c r="B3061" s="54"/>
      <c r="C3061" s="63" t="s">
        <v>39</v>
      </c>
      <c r="D3061" s="59">
        <v>0.16</v>
      </c>
    </row>
    <row r="3062" spans="2:4" ht="12.75">
      <c r="B3062" s="54"/>
      <c r="C3062" s="67" t="s">
        <v>40</v>
      </c>
      <c r="D3062" s="59">
        <v>0</v>
      </c>
    </row>
    <row r="3063" spans="2:4" ht="12.75">
      <c r="B3063" s="54"/>
      <c r="C3063" s="63" t="s">
        <v>41</v>
      </c>
      <c r="D3063" s="59">
        <v>0.03</v>
      </c>
    </row>
    <row r="3064" spans="2:4" ht="12.75">
      <c r="B3064" s="61" t="s">
        <v>19</v>
      </c>
      <c r="C3064" s="61"/>
      <c r="D3064" s="66">
        <v>1.54</v>
      </c>
    </row>
    <row r="3065" spans="2:4" ht="12.75">
      <c r="B3065" s="68" t="s">
        <v>42</v>
      </c>
      <c r="C3065" s="68"/>
      <c r="D3065" s="66">
        <f>5.57</f>
        <v>5.57</v>
      </c>
    </row>
    <row r="3066" spans="2:4" ht="12.75">
      <c r="B3066" s="54"/>
      <c r="C3066" s="40" t="s">
        <v>21</v>
      </c>
      <c r="D3066" s="66">
        <f>D3054+D3055+D3059+D3064+D3065</f>
        <v>36.16</v>
      </c>
    </row>
    <row r="3067" spans="2:4" ht="12.75">
      <c r="B3067" s="55">
        <v>5</v>
      </c>
      <c r="C3067" s="60" t="s">
        <v>9</v>
      </c>
      <c r="D3067" s="66">
        <f>D3066-D3051/1000</f>
        <v>-15.295400000000008</v>
      </c>
    </row>
    <row r="3068" spans="2:4" ht="12.75">
      <c r="B3068" s="69"/>
      <c r="C3068" s="69"/>
      <c r="D3068" s="69"/>
    </row>
    <row r="3069" spans="2:4" ht="12.75">
      <c r="B3069" s="70" t="s">
        <v>47</v>
      </c>
      <c r="C3069" s="70"/>
      <c r="D3069" s="70"/>
    </row>
    <row r="3071" spans="2:4" ht="12.75">
      <c r="B3071" s="53" t="s">
        <v>0</v>
      </c>
      <c r="C3071" s="53"/>
      <c r="D3071" s="53"/>
    </row>
    <row r="3072" spans="2:4" ht="12.75">
      <c r="B3072" s="53" t="s">
        <v>30</v>
      </c>
      <c r="C3072" s="53"/>
      <c r="D3072" s="53"/>
    </row>
    <row r="3073" spans="2:4" ht="12.75">
      <c r="B3073" s="53" t="s">
        <v>153</v>
      </c>
      <c r="C3073" s="53"/>
      <c r="D3073" s="53"/>
    </row>
    <row r="3074" spans="2:4" ht="12.75">
      <c r="B3074" s="54"/>
      <c r="C3074" s="54" t="s">
        <v>3</v>
      </c>
      <c r="D3074" s="55" t="s">
        <v>4</v>
      </c>
    </row>
    <row r="3075" spans="2:4" ht="12.75">
      <c r="B3075" s="55">
        <v>1</v>
      </c>
      <c r="C3075" s="56" t="s">
        <v>5</v>
      </c>
      <c r="D3075" s="54">
        <v>258</v>
      </c>
    </row>
    <row r="3076" spans="2:4" ht="12.75">
      <c r="B3076" s="55">
        <v>2</v>
      </c>
      <c r="C3076" s="55" t="s">
        <v>32</v>
      </c>
      <c r="D3076" s="54"/>
    </row>
    <row r="3077" spans="2:4" ht="12.75">
      <c r="B3077" s="54"/>
      <c r="C3077" s="54" t="s">
        <v>7</v>
      </c>
      <c r="D3077" s="59">
        <v>0</v>
      </c>
    </row>
    <row r="3078" spans="2:4" ht="12.75">
      <c r="B3078" s="54"/>
      <c r="C3078" s="54" t="s">
        <v>33</v>
      </c>
      <c r="D3078" s="59">
        <v>166.34</v>
      </c>
    </row>
    <row r="3079" spans="2:4" ht="12.75">
      <c r="B3079" s="54"/>
      <c r="C3079" s="54" t="s">
        <v>9</v>
      </c>
      <c r="D3079" s="59">
        <f>D3078-D3077</f>
        <v>166.34</v>
      </c>
    </row>
    <row r="3080" spans="2:4" ht="12.75">
      <c r="B3080" s="55">
        <v>3</v>
      </c>
      <c r="C3080" s="58" t="s">
        <v>6</v>
      </c>
      <c r="D3080" s="54"/>
    </row>
    <row r="3081" spans="2:4" ht="12.75">
      <c r="B3081" s="55"/>
      <c r="C3081" s="54" t="s">
        <v>7</v>
      </c>
      <c r="D3081" s="59">
        <v>44215.22</v>
      </c>
    </row>
    <row r="3082" spans="2:4" ht="12.75">
      <c r="B3082" s="55"/>
      <c r="C3082" s="54" t="s">
        <v>8</v>
      </c>
      <c r="D3082" s="59">
        <v>41776.45</v>
      </c>
    </row>
    <row r="3083" spans="2:4" ht="12.75">
      <c r="B3083" s="55"/>
      <c r="C3083" s="54" t="s">
        <v>9</v>
      </c>
      <c r="D3083" s="59">
        <f>D3082-D3081</f>
        <v>-2438.770000000004</v>
      </c>
    </row>
    <row r="3084" spans="2:4" ht="12.75">
      <c r="B3084" s="55">
        <v>4</v>
      </c>
      <c r="C3084" s="60" t="s">
        <v>10</v>
      </c>
      <c r="D3084" s="55" t="s">
        <v>11</v>
      </c>
    </row>
    <row r="3085" spans="2:4" ht="12.75">
      <c r="B3085" s="61" t="s">
        <v>14</v>
      </c>
      <c r="C3085" s="61"/>
      <c r="D3085" s="59">
        <v>6</v>
      </c>
    </row>
    <row r="3086" spans="2:4" ht="12.75" customHeight="1">
      <c r="B3086" s="62" t="s">
        <v>34</v>
      </c>
      <c r="C3086" s="62"/>
      <c r="D3086" s="55">
        <f>D3087+D3088+D3089</f>
        <v>19.04</v>
      </c>
    </row>
    <row r="3087" spans="2:4" ht="12.75">
      <c r="B3087" s="54"/>
      <c r="C3087" s="63" t="s">
        <v>35</v>
      </c>
      <c r="D3087" s="59">
        <v>10</v>
      </c>
    </row>
    <row r="3088" spans="2:4" ht="12.75">
      <c r="B3088" s="54"/>
      <c r="C3088" s="63" t="s">
        <v>36</v>
      </c>
      <c r="D3088" s="72">
        <v>9.04</v>
      </c>
    </row>
    <row r="3089" spans="2:4" ht="12.75">
      <c r="B3089" s="61" t="s">
        <v>37</v>
      </c>
      <c r="C3089" s="61"/>
      <c r="D3089" s="72">
        <v>0</v>
      </c>
    </row>
    <row r="3090" spans="2:4" ht="12.75" customHeight="1">
      <c r="B3090" s="65" t="s">
        <v>38</v>
      </c>
      <c r="C3090" s="65"/>
      <c r="D3090" s="66">
        <f>D3091+D3093+D3094+D3092</f>
        <v>24.77</v>
      </c>
    </row>
    <row r="3091" spans="2:4" ht="12.75">
      <c r="B3091" s="54"/>
      <c r="C3091" s="63" t="s">
        <v>15</v>
      </c>
      <c r="D3091" s="54">
        <f>16.68+3.37+1.47+2.16+0.25+0.06+0.21</f>
        <v>24.2</v>
      </c>
    </row>
    <row r="3092" spans="2:4" ht="12.75">
      <c r="B3092" s="54"/>
      <c r="C3092" s="63" t="s">
        <v>39</v>
      </c>
      <c r="D3092" s="59">
        <v>0.44</v>
      </c>
    </row>
    <row r="3093" spans="2:4" ht="12.75">
      <c r="B3093" s="54"/>
      <c r="C3093" s="67" t="s">
        <v>40</v>
      </c>
      <c r="D3093" s="59">
        <v>0</v>
      </c>
    </row>
    <row r="3094" spans="2:4" ht="12.75">
      <c r="B3094" s="54"/>
      <c r="C3094" s="63" t="s">
        <v>41</v>
      </c>
      <c r="D3094" s="59">
        <f>0.02+0.11</f>
        <v>0.13</v>
      </c>
    </row>
    <row r="3095" spans="2:4" ht="12.75">
      <c r="B3095" s="61" t="s">
        <v>19</v>
      </c>
      <c r="C3095" s="61"/>
      <c r="D3095" s="66">
        <v>1.21</v>
      </c>
    </row>
    <row r="3096" spans="2:4" ht="12.75">
      <c r="B3096" s="68" t="s">
        <v>42</v>
      </c>
      <c r="C3096" s="68"/>
      <c r="D3096" s="66">
        <f>3.95+1.49+0.06</f>
        <v>5.5</v>
      </c>
    </row>
    <row r="3097" spans="2:4" ht="12.75">
      <c r="B3097" s="54"/>
      <c r="C3097" s="40" t="s">
        <v>21</v>
      </c>
      <c r="D3097" s="66">
        <f>D3085+D3086+D3090+D3095+D3096</f>
        <v>56.52</v>
      </c>
    </row>
    <row r="3098" spans="2:4" ht="12.75">
      <c r="B3098" s="55">
        <v>5</v>
      </c>
      <c r="C3098" s="60" t="s">
        <v>9</v>
      </c>
      <c r="D3098" s="66">
        <f>D3097-D3082/1000</f>
        <v>14.743550000000006</v>
      </c>
    </row>
    <row r="3099" spans="2:4" ht="12.75">
      <c r="B3099" s="69"/>
      <c r="C3099" s="69"/>
      <c r="D3099" s="69"/>
    </row>
    <row r="3100" spans="2:4" ht="12.75">
      <c r="B3100" s="70" t="s">
        <v>47</v>
      </c>
      <c r="C3100" s="70"/>
      <c r="D3100" s="70"/>
    </row>
    <row r="3103" spans="2:4" ht="12.75">
      <c r="B3103" s="53" t="s">
        <v>0</v>
      </c>
      <c r="C3103" s="53"/>
      <c r="D3103" s="53"/>
    </row>
    <row r="3104" spans="2:4" ht="12.75">
      <c r="B3104" s="53" t="s">
        <v>30</v>
      </c>
      <c r="C3104" s="53"/>
      <c r="D3104" s="53"/>
    </row>
    <row r="3105" spans="2:4" ht="12.75">
      <c r="B3105" s="53" t="s">
        <v>154</v>
      </c>
      <c r="C3105" s="53"/>
      <c r="D3105" s="53"/>
    </row>
    <row r="3106" spans="2:4" ht="12.75">
      <c r="B3106" s="54"/>
      <c r="C3106" s="54" t="s">
        <v>3</v>
      </c>
      <c r="D3106" s="55" t="s">
        <v>4</v>
      </c>
    </row>
    <row r="3107" spans="2:4" ht="12.75">
      <c r="B3107" s="55">
        <v>1</v>
      </c>
      <c r="C3107" s="56" t="s">
        <v>5</v>
      </c>
      <c r="D3107" s="54">
        <v>1725.7</v>
      </c>
    </row>
    <row r="3108" spans="2:4" ht="12.75">
      <c r="B3108" s="55">
        <v>2</v>
      </c>
      <c r="C3108" s="55" t="s">
        <v>32</v>
      </c>
      <c r="D3108" s="54"/>
    </row>
    <row r="3109" spans="2:4" ht="12.75">
      <c r="B3109" s="54"/>
      <c r="C3109" s="54" t="s">
        <v>7</v>
      </c>
      <c r="D3109" s="59">
        <v>0</v>
      </c>
    </row>
    <row r="3110" spans="2:4" ht="12.75">
      <c r="B3110" s="54"/>
      <c r="C3110" s="54" t="s">
        <v>33</v>
      </c>
      <c r="D3110" s="59">
        <v>2327.28</v>
      </c>
    </row>
    <row r="3111" spans="2:4" ht="12.75">
      <c r="B3111" s="54"/>
      <c r="C3111" s="54" t="s">
        <v>9</v>
      </c>
      <c r="D3111" s="59">
        <f>D3110-D3109</f>
        <v>2327.28</v>
      </c>
    </row>
    <row r="3112" spans="2:4" ht="12.75">
      <c r="B3112" s="55">
        <v>3</v>
      </c>
      <c r="C3112" s="58" t="s">
        <v>6</v>
      </c>
      <c r="D3112" s="54"/>
    </row>
    <row r="3113" spans="2:4" ht="12.75">
      <c r="B3113" s="55"/>
      <c r="C3113" s="54" t="s">
        <v>7</v>
      </c>
      <c r="D3113" s="59">
        <v>290441.55</v>
      </c>
    </row>
    <row r="3114" spans="2:4" ht="12.75">
      <c r="B3114" s="55"/>
      <c r="C3114" s="54" t="s">
        <v>8</v>
      </c>
      <c r="D3114" s="59">
        <v>287776.35</v>
      </c>
    </row>
    <row r="3115" spans="2:4" ht="12.75">
      <c r="B3115" s="55"/>
      <c r="C3115" s="54" t="s">
        <v>9</v>
      </c>
      <c r="D3115" s="59">
        <f>D3114-D3113</f>
        <v>-2665.2000000000116</v>
      </c>
    </row>
    <row r="3116" spans="2:4" ht="12.75">
      <c r="B3116" s="55">
        <v>4</v>
      </c>
      <c r="C3116" s="60" t="s">
        <v>10</v>
      </c>
      <c r="D3116" s="55" t="s">
        <v>11</v>
      </c>
    </row>
    <row r="3117" spans="2:4" ht="12.75">
      <c r="B3117" s="61" t="s">
        <v>14</v>
      </c>
      <c r="C3117" s="61"/>
      <c r="D3117" s="59">
        <v>39.21</v>
      </c>
    </row>
    <row r="3118" spans="2:4" ht="12.75" customHeight="1">
      <c r="B3118" s="62" t="s">
        <v>34</v>
      </c>
      <c r="C3118" s="62"/>
      <c r="D3118" s="55">
        <f>D3119+D3120+D3121</f>
        <v>137.64000000000001</v>
      </c>
    </row>
    <row r="3119" spans="2:4" ht="12.75">
      <c r="B3119" s="54"/>
      <c r="C3119" s="63" t="s">
        <v>35</v>
      </c>
      <c r="D3119" s="59">
        <v>66.8</v>
      </c>
    </row>
    <row r="3120" spans="2:4" ht="12.75">
      <c r="B3120" s="54"/>
      <c r="C3120" s="63" t="s">
        <v>36</v>
      </c>
      <c r="D3120" s="72">
        <v>54.04</v>
      </c>
    </row>
    <row r="3121" spans="2:4" ht="12.75">
      <c r="B3121" s="61" t="s">
        <v>37</v>
      </c>
      <c r="C3121" s="61"/>
      <c r="D3121" s="72">
        <v>16.8</v>
      </c>
    </row>
    <row r="3122" spans="2:4" ht="12.75" customHeight="1">
      <c r="B3122" s="65" t="s">
        <v>38</v>
      </c>
      <c r="C3122" s="65"/>
      <c r="D3122" s="66">
        <f>D3123+D3125+D3126+D3124</f>
        <v>54.61</v>
      </c>
    </row>
    <row r="3123" spans="2:4" ht="12.75">
      <c r="B3123" s="54"/>
      <c r="C3123" s="63" t="s">
        <v>15</v>
      </c>
      <c r="D3123" s="54">
        <f>5.18+1.05+0.45+0.67+21.11+1.7+0.44+3.71+14.42</f>
        <v>48.730000000000004</v>
      </c>
    </row>
    <row r="3124" spans="2:4" ht="12.75">
      <c r="B3124" s="54"/>
      <c r="C3124" s="63" t="s">
        <v>39</v>
      </c>
      <c r="D3124" s="59">
        <v>5.15</v>
      </c>
    </row>
    <row r="3125" spans="2:4" ht="12.75">
      <c r="B3125" s="54"/>
      <c r="C3125" s="67" t="s">
        <v>40</v>
      </c>
      <c r="D3125" s="59">
        <v>0</v>
      </c>
    </row>
    <row r="3126" spans="2:4" ht="12.75">
      <c r="B3126" s="54"/>
      <c r="C3126" s="63" t="s">
        <v>41</v>
      </c>
      <c r="D3126" s="59">
        <v>0.73</v>
      </c>
    </row>
    <row r="3127" spans="2:4" ht="12.75">
      <c r="B3127" s="61" t="s">
        <v>19</v>
      </c>
      <c r="C3127" s="61"/>
      <c r="D3127" s="66">
        <v>8.63</v>
      </c>
    </row>
    <row r="3128" spans="2:4" ht="12.75">
      <c r="B3128" s="54"/>
      <c r="C3128" s="40" t="s">
        <v>21</v>
      </c>
      <c r="D3128" s="66">
        <f>D3117+D3118+D3122+D3127</f>
        <v>240.09000000000003</v>
      </c>
    </row>
    <row r="3129" spans="2:4" ht="12.75">
      <c r="B3129" s="55">
        <v>5</v>
      </c>
      <c r="C3129" s="60" t="s">
        <v>9</v>
      </c>
      <c r="D3129" s="66">
        <f>D3128-D3114/1000</f>
        <v>-47.68634999999995</v>
      </c>
    </row>
    <row r="3130" spans="2:4" ht="12.75">
      <c r="B3130" s="69"/>
      <c r="C3130" s="69"/>
      <c r="D3130" s="69"/>
    </row>
    <row r="3131" spans="2:4" ht="12.75">
      <c r="B3131" s="70" t="s">
        <v>47</v>
      </c>
      <c r="C3131" s="70"/>
      <c r="D3131" s="70"/>
    </row>
    <row r="3133" spans="2:4" ht="12.75">
      <c r="B3133" s="53" t="s">
        <v>0</v>
      </c>
      <c r="C3133" s="53"/>
      <c r="D3133" s="53"/>
    </row>
    <row r="3134" spans="2:4" ht="12.75">
      <c r="B3134" s="53" t="s">
        <v>30</v>
      </c>
      <c r="C3134" s="53"/>
      <c r="D3134" s="53"/>
    </row>
    <row r="3135" spans="2:4" ht="12.75">
      <c r="B3135" s="53" t="s">
        <v>155</v>
      </c>
      <c r="C3135" s="53"/>
      <c r="D3135" s="53"/>
    </row>
    <row r="3136" spans="2:4" ht="12.75">
      <c r="B3136" s="54"/>
      <c r="C3136" s="54" t="s">
        <v>3</v>
      </c>
      <c r="D3136" s="55" t="s">
        <v>4</v>
      </c>
    </row>
    <row r="3137" spans="2:4" ht="12.75">
      <c r="B3137" s="55">
        <v>1</v>
      </c>
      <c r="C3137" s="56" t="s">
        <v>5</v>
      </c>
      <c r="D3137" s="54">
        <v>940.81</v>
      </c>
    </row>
    <row r="3138" spans="2:4" ht="12.75">
      <c r="B3138" s="55">
        <v>2</v>
      </c>
      <c r="C3138" s="58" t="s">
        <v>6</v>
      </c>
      <c r="D3138" s="54"/>
    </row>
    <row r="3139" spans="2:4" ht="12.75">
      <c r="B3139" s="55"/>
      <c r="C3139" s="54" t="s">
        <v>7</v>
      </c>
      <c r="D3139" s="59">
        <v>155886.79</v>
      </c>
    </row>
    <row r="3140" spans="2:4" ht="12.75">
      <c r="B3140" s="55"/>
      <c r="C3140" s="54" t="s">
        <v>8</v>
      </c>
      <c r="D3140" s="59">
        <v>162817.72</v>
      </c>
    </row>
    <row r="3141" spans="2:4" ht="12.75">
      <c r="B3141" s="55"/>
      <c r="C3141" s="54" t="s">
        <v>9</v>
      </c>
      <c r="D3141" s="59">
        <f>D3140-D3139</f>
        <v>6930.929999999993</v>
      </c>
    </row>
    <row r="3142" spans="2:4" ht="12.75">
      <c r="B3142" s="55">
        <v>3</v>
      </c>
      <c r="C3142" s="60" t="s">
        <v>10</v>
      </c>
      <c r="D3142" s="55" t="s">
        <v>11</v>
      </c>
    </row>
    <row r="3143" spans="2:4" ht="12.75">
      <c r="B3143" s="61" t="s">
        <v>14</v>
      </c>
      <c r="C3143" s="61"/>
      <c r="D3143" s="59">
        <v>21</v>
      </c>
    </row>
    <row r="3144" spans="2:4" ht="12.75" customHeight="1">
      <c r="B3144" s="62" t="s">
        <v>34</v>
      </c>
      <c r="C3144" s="62"/>
      <c r="D3144" s="55">
        <f>D3145+D3146+D3147</f>
        <v>72.42</v>
      </c>
    </row>
    <row r="3145" spans="2:4" ht="12.75">
      <c r="B3145" s="54"/>
      <c r="C3145" s="63" t="s">
        <v>35</v>
      </c>
      <c r="D3145" s="59">
        <v>36.42</v>
      </c>
    </row>
    <row r="3146" spans="2:4" ht="12.75">
      <c r="B3146" s="54"/>
      <c r="C3146" s="63" t="s">
        <v>36</v>
      </c>
      <c r="D3146" s="72">
        <v>36</v>
      </c>
    </row>
    <row r="3147" spans="2:4" ht="12.75">
      <c r="B3147" s="61" t="s">
        <v>37</v>
      </c>
      <c r="C3147" s="61"/>
      <c r="D3147" s="72">
        <v>0</v>
      </c>
    </row>
    <row r="3148" spans="2:4" ht="12.75" customHeight="1">
      <c r="B3148" s="65" t="s">
        <v>38</v>
      </c>
      <c r="C3148" s="65"/>
      <c r="D3148" s="66">
        <f>D3149+D3151+D3152+D3150</f>
        <v>13.930000000000001</v>
      </c>
    </row>
    <row r="3149" spans="2:4" ht="12.75">
      <c r="B3149" s="54"/>
      <c r="C3149" s="63" t="s">
        <v>15</v>
      </c>
      <c r="D3149" s="54">
        <f>2.62+0.53+0.23+0.34+0.93+0.24+5.43+0.77</f>
        <v>11.09</v>
      </c>
    </row>
    <row r="3150" spans="2:4" ht="12.75">
      <c r="B3150" s="54"/>
      <c r="C3150" s="63" t="s">
        <v>39</v>
      </c>
      <c r="D3150" s="59">
        <v>2.14</v>
      </c>
    </row>
    <row r="3151" spans="2:4" ht="12.75">
      <c r="B3151" s="54"/>
      <c r="C3151" s="67" t="s">
        <v>40</v>
      </c>
      <c r="D3151" s="59">
        <v>0.30000000000000004</v>
      </c>
    </row>
    <row r="3152" spans="2:4" ht="12.75">
      <c r="B3152" s="54"/>
      <c r="C3152" s="63" t="s">
        <v>41</v>
      </c>
      <c r="D3152" s="59">
        <v>0.4</v>
      </c>
    </row>
    <row r="3153" spans="2:4" ht="12.75">
      <c r="B3153" s="61" t="s">
        <v>19</v>
      </c>
      <c r="C3153" s="61"/>
      <c r="D3153" s="66">
        <v>4.92</v>
      </c>
    </row>
    <row r="3154" spans="2:4" ht="12.75">
      <c r="B3154" s="54"/>
      <c r="C3154" s="40" t="s">
        <v>21</v>
      </c>
      <c r="D3154" s="66">
        <f>D3143+D3144+D3148+D3153</f>
        <v>112.27000000000001</v>
      </c>
    </row>
    <row r="3155" spans="2:4" ht="12.75">
      <c r="B3155" s="55">
        <v>4</v>
      </c>
      <c r="C3155" s="60" t="s">
        <v>9</v>
      </c>
      <c r="D3155" s="66">
        <f>D3154-D3140/1000</f>
        <v>-50.54772</v>
      </c>
    </row>
    <row r="3156" spans="2:4" ht="12.75">
      <c r="B3156" s="69"/>
      <c r="C3156" s="69"/>
      <c r="D3156" s="69"/>
    </row>
    <row r="3157" spans="2:4" ht="12.75">
      <c r="B3157" s="70" t="s">
        <v>47</v>
      </c>
      <c r="C3157" s="70"/>
      <c r="D3157" s="70"/>
    </row>
    <row r="3159" spans="2:4" ht="12.75">
      <c r="B3159" s="53" t="s">
        <v>0</v>
      </c>
      <c r="C3159" s="53"/>
      <c r="D3159" s="53"/>
    </row>
    <row r="3160" spans="2:4" ht="12.75">
      <c r="B3160" s="53" t="s">
        <v>30</v>
      </c>
      <c r="C3160" s="53"/>
      <c r="D3160" s="53"/>
    </row>
    <row r="3161" spans="2:4" ht="12.75">
      <c r="B3161" s="53" t="s">
        <v>156</v>
      </c>
      <c r="C3161" s="53"/>
      <c r="D3161" s="53"/>
    </row>
    <row r="3162" spans="2:4" ht="12.75">
      <c r="B3162" s="54"/>
      <c r="C3162" s="54" t="s">
        <v>3</v>
      </c>
      <c r="D3162" s="55" t="s">
        <v>4</v>
      </c>
    </row>
    <row r="3163" spans="2:4" ht="12.75">
      <c r="B3163" s="55">
        <v>1</v>
      </c>
      <c r="C3163" s="56" t="s">
        <v>5</v>
      </c>
      <c r="D3163" s="54">
        <v>965.85</v>
      </c>
    </row>
    <row r="3164" spans="2:4" ht="12.75">
      <c r="B3164" s="55">
        <v>2</v>
      </c>
      <c r="C3164" s="55" t="s">
        <v>32</v>
      </c>
      <c r="D3164" s="54"/>
    </row>
    <row r="3165" spans="2:4" ht="12.75">
      <c r="B3165" s="54"/>
      <c r="C3165" s="54" t="s">
        <v>7</v>
      </c>
      <c r="D3165" s="59">
        <v>0</v>
      </c>
    </row>
    <row r="3166" spans="2:4" ht="12.75">
      <c r="B3166" s="54"/>
      <c r="C3166" s="54" t="s">
        <v>33</v>
      </c>
      <c r="D3166" s="59">
        <v>652.81</v>
      </c>
    </row>
    <row r="3167" spans="2:4" ht="12.75">
      <c r="B3167" s="54"/>
      <c r="C3167" s="54" t="s">
        <v>9</v>
      </c>
      <c r="D3167" s="59">
        <f>D3166-D3165</f>
        <v>652.81</v>
      </c>
    </row>
    <row r="3168" spans="2:4" ht="12.75">
      <c r="B3168" s="55">
        <v>3</v>
      </c>
      <c r="C3168" s="58" t="s">
        <v>6</v>
      </c>
      <c r="D3168" s="54"/>
    </row>
    <row r="3169" spans="2:4" ht="12.75">
      <c r="B3169" s="55"/>
      <c r="C3169" s="54" t="s">
        <v>7</v>
      </c>
      <c r="D3169" s="59">
        <v>216894.28</v>
      </c>
    </row>
    <row r="3170" spans="2:4" ht="12.75">
      <c r="B3170" s="55"/>
      <c r="C3170" s="54" t="s">
        <v>8</v>
      </c>
      <c r="D3170" s="59">
        <v>202006.22</v>
      </c>
    </row>
    <row r="3171" spans="2:4" ht="12.75">
      <c r="B3171" s="55"/>
      <c r="C3171" s="54" t="s">
        <v>9</v>
      </c>
      <c r="D3171" s="59">
        <f>D3170-D3169</f>
        <v>-14888.059999999998</v>
      </c>
    </row>
    <row r="3172" spans="2:4" ht="12.75">
      <c r="B3172" s="55">
        <v>4</v>
      </c>
      <c r="C3172" s="60" t="s">
        <v>10</v>
      </c>
      <c r="D3172" s="55" t="s">
        <v>11</v>
      </c>
    </row>
    <row r="3173" spans="2:4" ht="12.75">
      <c r="B3173" s="61" t="s">
        <v>14</v>
      </c>
      <c r="C3173" s="61"/>
      <c r="D3173" s="59">
        <v>29.3</v>
      </c>
    </row>
    <row r="3174" spans="2:4" ht="12.75" customHeight="1">
      <c r="B3174" s="62" t="s">
        <v>34</v>
      </c>
      <c r="C3174" s="62"/>
      <c r="D3174" s="55">
        <f>D3175+D3176+D3177</f>
        <v>113.02000000000001</v>
      </c>
    </row>
    <row r="3175" spans="2:4" ht="12.75">
      <c r="B3175" s="54"/>
      <c r="C3175" s="63" t="s">
        <v>35</v>
      </c>
      <c r="D3175" s="59">
        <v>37.38</v>
      </c>
    </row>
    <row r="3176" spans="2:4" ht="12.75">
      <c r="B3176" s="54"/>
      <c r="C3176" s="63" t="s">
        <v>36</v>
      </c>
      <c r="D3176" s="72">
        <v>75.64</v>
      </c>
    </row>
    <row r="3177" spans="2:4" ht="12.75">
      <c r="B3177" s="61" t="s">
        <v>37</v>
      </c>
      <c r="C3177" s="61"/>
      <c r="D3177" s="72">
        <v>0</v>
      </c>
    </row>
    <row r="3178" spans="2:4" ht="12.75" customHeight="1">
      <c r="B3178" s="65" t="s">
        <v>38</v>
      </c>
      <c r="C3178" s="65"/>
      <c r="D3178" s="66">
        <f>D3179+D3181+D3182+D3180</f>
        <v>14.740000000000002</v>
      </c>
    </row>
    <row r="3179" spans="2:4" ht="12.75">
      <c r="B3179" s="54"/>
      <c r="C3179" s="63" t="s">
        <v>15</v>
      </c>
      <c r="D3179" s="54">
        <f>2.67+0.54+0.25+0.35+0.9+0.23+2.57+4.7</f>
        <v>12.21</v>
      </c>
    </row>
    <row r="3180" spans="2:4" ht="12.75">
      <c r="B3180" s="54"/>
      <c r="C3180" s="63" t="s">
        <v>39</v>
      </c>
      <c r="D3180" s="59">
        <v>1.63</v>
      </c>
    </row>
    <row r="3181" spans="2:4" ht="12.75">
      <c r="B3181" s="54"/>
      <c r="C3181" s="67" t="s">
        <v>40</v>
      </c>
      <c r="D3181" s="59">
        <v>0.5</v>
      </c>
    </row>
    <row r="3182" spans="2:4" ht="12.75">
      <c r="B3182" s="54"/>
      <c r="C3182" s="63" t="s">
        <v>41</v>
      </c>
      <c r="D3182" s="59">
        <v>0.4</v>
      </c>
    </row>
    <row r="3183" spans="2:4" ht="12.75">
      <c r="B3183" s="61" t="s">
        <v>19</v>
      </c>
      <c r="C3183" s="61"/>
      <c r="D3183" s="66">
        <v>6.04</v>
      </c>
    </row>
    <row r="3184" spans="2:4" ht="12.75">
      <c r="B3184" s="54"/>
      <c r="C3184" s="40" t="s">
        <v>21</v>
      </c>
      <c r="D3184" s="66">
        <f>D3173+D3174+D3178+D3183</f>
        <v>163.10000000000002</v>
      </c>
    </row>
    <row r="3185" spans="2:4" ht="12.75">
      <c r="B3185" s="55">
        <v>5</v>
      </c>
      <c r="C3185" s="60" t="s">
        <v>9</v>
      </c>
      <c r="D3185" s="66">
        <f>D3184-D3170/1000</f>
        <v>-38.90621999999999</v>
      </c>
    </row>
    <row r="3186" spans="2:4" ht="12.75">
      <c r="B3186" s="69"/>
      <c r="C3186" s="69"/>
      <c r="D3186" s="69"/>
    </row>
    <row r="3187" spans="2:4" ht="12.75">
      <c r="B3187" s="70" t="s">
        <v>47</v>
      </c>
      <c r="C3187" s="70"/>
      <c r="D3187" s="70"/>
    </row>
    <row r="3189" spans="2:4" ht="12.75">
      <c r="B3189" s="53" t="s">
        <v>0</v>
      </c>
      <c r="C3189" s="53"/>
      <c r="D3189" s="53"/>
    </row>
    <row r="3190" spans="2:4" ht="12.75">
      <c r="B3190" s="53" t="s">
        <v>30</v>
      </c>
      <c r="C3190" s="53"/>
      <c r="D3190" s="53"/>
    </row>
    <row r="3191" spans="2:4" ht="12.75">
      <c r="B3191" s="53" t="s">
        <v>157</v>
      </c>
      <c r="C3191" s="53"/>
      <c r="D3191" s="53"/>
    </row>
    <row r="3192" spans="2:4" ht="12.75">
      <c r="B3192" s="54"/>
      <c r="C3192" s="54" t="s">
        <v>3</v>
      </c>
      <c r="D3192" s="55" t="s">
        <v>4</v>
      </c>
    </row>
    <row r="3193" spans="2:4" ht="12.75">
      <c r="B3193" s="55">
        <v>1</v>
      </c>
      <c r="C3193" s="56" t="s">
        <v>5</v>
      </c>
      <c r="D3193" s="54">
        <v>1426.6</v>
      </c>
    </row>
    <row r="3194" spans="2:4" ht="12.75">
      <c r="B3194" s="55">
        <v>2</v>
      </c>
      <c r="C3194" s="58" t="s">
        <v>6</v>
      </c>
      <c r="D3194" s="54"/>
    </row>
    <row r="3195" spans="2:4" ht="12.75">
      <c r="B3195" s="55"/>
      <c r="C3195" s="54" t="s">
        <v>7</v>
      </c>
      <c r="D3195" s="59">
        <v>358448.32</v>
      </c>
    </row>
    <row r="3196" spans="2:4" ht="12.75">
      <c r="B3196" s="55"/>
      <c r="C3196" s="54" t="s">
        <v>8</v>
      </c>
      <c r="D3196" s="59">
        <v>173504.42</v>
      </c>
    </row>
    <row r="3197" spans="2:4" ht="12.75">
      <c r="B3197" s="55"/>
      <c r="C3197" s="54" t="s">
        <v>9</v>
      </c>
      <c r="D3197" s="59">
        <f>D3196-D3195</f>
        <v>-184943.9</v>
      </c>
    </row>
    <row r="3198" spans="2:4" ht="12.75">
      <c r="B3198" s="55">
        <v>3</v>
      </c>
      <c r="C3198" s="60" t="s">
        <v>10</v>
      </c>
      <c r="D3198" s="55" t="s">
        <v>11</v>
      </c>
    </row>
    <row r="3199" spans="2:4" ht="12.75">
      <c r="B3199" s="61" t="s">
        <v>14</v>
      </c>
      <c r="C3199" s="61"/>
      <c r="D3199" s="59">
        <v>48.4</v>
      </c>
    </row>
    <row r="3200" spans="2:4" ht="12.75" customHeight="1">
      <c r="B3200" s="62" t="s">
        <v>34</v>
      </c>
      <c r="C3200" s="62"/>
      <c r="D3200" s="55">
        <f>D3201+D3202+D3203</f>
        <v>77.31</v>
      </c>
    </row>
    <row r="3201" spans="2:4" ht="12.75">
      <c r="B3201" s="54"/>
      <c r="C3201" s="63" t="s">
        <v>35</v>
      </c>
      <c r="D3201" s="59">
        <v>57.2</v>
      </c>
    </row>
    <row r="3202" spans="2:4" ht="12.75">
      <c r="B3202" s="54"/>
      <c r="C3202" s="63" t="s">
        <v>36</v>
      </c>
      <c r="D3202" s="72">
        <v>20.11</v>
      </c>
    </row>
    <row r="3203" spans="2:4" ht="12.75">
      <c r="B3203" s="61" t="s">
        <v>37</v>
      </c>
      <c r="C3203" s="61"/>
      <c r="D3203" s="72">
        <v>0</v>
      </c>
    </row>
    <row r="3204" spans="2:4" ht="12.75" customHeight="1">
      <c r="B3204" s="65" t="s">
        <v>38</v>
      </c>
      <c r="C3204" s="65"/>
      <c r="D3204" s="66">
        <f>D3205+D3207+D3208+D3206</f>
        <v>110.53999999999999</v>
      </c>
    </row>
    <row r="3205" spans="2:4" ht="12.75">
      <c r="B3205" s="54"/>
      <c r="C3205" s="63" t="s">
        <v>15</v>
      </c>
      <c r="D3205" s="54">
        <f>74.3+15.1+7.13+1.4+0.36+4.63+1.25</f>
        <v>104.16999999999999</v>
      </c>
    </row>
    <row r="3206" spans="2:4" ht="12.75">
      <c r="B3206" s="54"/>
      <c r="C3206" s="63" t="s">
        <v>39</v>
      </c>
      <c r="D3206" s="59">
        <v>5.62</v>
      </c>
    </row>
    <row r="3207" spans="2:4" ht="12.75">
      <c r="B3207" s="54"/>
      <c r="C3207" s="67" t="s">
        <v>40</v>
      </c>
      <c r="D3207" s="59">
        <v>0.15</v>
      </c>
    </row>
    <row r="3208" spans="2:4" ht="12.75">
      <c r="B3208" s="54"/>
      <c r="C3208" s="63" t="s">
        <v>41</v>
      </c>
      <c r="D3208" s="59">
        <v>0.6000000000000001</v>
      </c>
    </row>
    <row r="3209" spans="2:4" ht="12.75">
      <c r="B3209" s="61" t="s">
        <v>19</v>
      </c>
      <c r="C3209" s="61"/>
      <c r="D3209" s="66">
        <v>5.2</v>
      </c>
    </row>
    <row r="3210" spans="2:4" ht="12.75">
      <c r="B3210" s="54"/>
      <c r="C3210" s="40" t="s">
        <v>21</v>
      </c>
      <c r="D3210" s="66">
        <f>D3199+D3200+D3204+D3209</f>
        <v>241.45</v>
      </c>
    </row>
    <row r="3211" spans="2:4" ht="12.75">
      <c r="B3211" s="55">
        <v>4</v>
      </c>
      <c r="C3211" s="60" t="s">
        <v>9</v>
      </c>
      <c r="D3211" s="66">
        <f>D3210-D3196/1000</f>
        <v>67.94557999999998</v>
      </c>
    </row>
    <row r="3212" spans="2:4" ht="12.75">
      <c r="B3212" s="69"/>
      <c r="C3212" s="69"/>
      <c r="D3212" s="69"/>
    </row>
    <row r="3213" spans="2:4" ht="12.75">
      <c r="B3213" s="70" t="s">
        <v>47</v>
      </c>
      <c r="C3213" s="70"/>
      <c r="D3213" s="70"/>
    </row>
    <row r="3215" spans="2:4" ht="12.75">
      <c r="B3215" s="53" t="s">
        <v>0</v>
      </c>
      <c r="C3215" s="53"/>
      <c r="D3215" s="53"/>
    </row>
    <row r="3216" spans="2:4" ht="12.75">
      <c r="B3216" s="53" t="s">
        <v>30</v>
      </c>
      <c r="C3216" s="53"/>
      <c r="D3216" s="53"/>
    </row>
    <row r="3217" spans="2:4" ht="12.75">
      <c r="B3217" s="53" t="s">
        <v>158</v>
      </c>
      <c r="C3217" s="53"/>
      <c r="D3217" s="53"/>
    </row>
    <row r="3218" spans="2:4" ht="12.75">
      <c r="B3218" s="54"/>
      <c r="C3218" s="54" t="s">
        <v>3</v>
      </c>
      <c r="D3218" s="55" t="s">
        <v>4</v>
      </c>
    </row>
    <row r="3219" spans="2:4" ht="12.75">
      <c r="B3219" s="55">
        <v>1</v>
      </c>
      <c r="C3219" s="56" t="s">
        <v>5</v>
      </c>
      <c r="D3219" s="54">
        <v>849.83</v>
      </c>
    </row>
    <row r="3220" spans="2:4" ht="12.75">
      <c r="B3220" s="55">
        <v>2</v>
      </c>
      <c r="C3220" s="58" t="s">
        <v>6</v>
      </c>
      <c r="D3220" s="54"/>
    </row>
    <row r="3221" spans="2:4" ht="12.75">
      <c r="B3221" s="55"/>
      <c r="C3221" s="54" t="s">
        <v>7</v>
      </c>
      <c r="D3221" s="59">
        <v>53188.14</v>
      </c>
    </row>
    <row r="3222" spans="2:4" ht="12.75">
      <c r="B3222" s="55"/>
      <c r="C3222" s="54" t="s">
        <v>8</v>
      </c>
      <c r="D3222" s="59">
        <v>39202.49</v>
      </c>
    </row>
    <row r="3223" spans="2:4" ht="12.75">
      <c r="B3223" s="55"/>
      <c r="C3223" s="54" t="s">
        <v>9</v>
      </c>
      <c r="D3223" s="59">
        <f>D3222-D3221</f>
        <v>-13985.650000000001</v>
      </c>
    </row>
    <row r="3224" spans="2:4" ht="12.75">
      <c r="B3224" s="55">
        <v>3</v>
      </c>
      <c r="C3224" s="60" t="s">
        <v>10</v>
      </c>
      <c r="D3224" s="55" t="s">
        <v>11</v>
      </c>
    </row>
    <row r="3225" spans="2:4" ht="12.75">
      <c r="B3225" s="61" t="s">
        <v>14</v>
      </c>
      <c r="C3225" s="61"/>
      <c r="D3225" s="59">
        <v>7.18</v>
      </c>
    </row>
    <row r="3226" spans="2:4" ht="12.75" customHeight="1">
      <c r="B3226" s="62" t="s">
        <v>34</v>
      </c>
      <c r="C3226" s="62"/>
      <c r="D3226" s="55">
        <f>D3227+D3228+D3229</f>
        <v>39.12</v>
      </c>
    </row>
    <row r="3227" spans="2:4" ht="12.75">
      <c r="B3227" s="54"/>
      <c r="C3227" s="63" t="s">
        <v>35</v>
      </c>
      <c r="D3227" s="59">
        <v>32.72</v>
      </c>
    </row>
    <row r="3228" spans="2:4" ht="12.75">
      <c r="B3228" s="54"/>
      <c r="C3228" s="63" t="s">
        <v>36</v>
      </c>
      <c r="D3228" s="72">
        <v>0.4</v>
      </c>
    </row>
    <row r="3229" spans="2:4" ht="12.75">
      <c r="B3229" s="61" t="s">
        <v>37</v>
      </c>
      <c r="C3229" s="61"/>
      <c r="D3229" s="72">
        <v>6</v>
      </c>
    </row>
    <row r="3230" spans="2:4" ht="12.75" customHeight="1">
      <c r="B3230" s="65" t="s">
        <v>38</v>
      </c>
      <c r="C3230" s="65"/>
      <c r="D3230" s="66">
        <f>D3231+D3233+D3234+D3232</f>
        <v>42.379999999999995</v>
      </c>
    </row>
    <row r="3231" spans="2:4" ht="12.75">
      <c r="B3231" s="54"/>
      <c r="C3231" s="63" t="s">
        <v>15</v>
      </c>
      <c r="D3231" s="54">
        <f>25.7+5.19+2+4.44+1.29</f>
        <v>38.62</v>
      </c>
    </row>
    <row r="3232" spans="2:4" ht="12.75">
      <c r="B3232" s="54"/>
      <c r="C3232" s="63" t="s">
        <v>39</v>
      </c>
      <c r="D3232" s="59">
        <v>3.76</v>
      </c>
    </row>
    <row r="3233" spans="2:4" ht="12.75">
      <c r="B3233" s="54"/>
      <c r="C3233" s="67" t="s">
        <v>40</v>
      </c>
      <c r="D3233" s="59">
        <v>0</v>
      </c>
    </row>
    <row r="3234" spans="2:4" ht="12.75">
      <c r="B3234" s="54"/>
      <c r="C3234" s="63" t="s">
        <v>41</v>
      </c>
      <c r="D3234" s="59">
        <v>0</v>
      </c>
    </row>
    <row r="3235" spans="2:4" ht="12.75">
      <c r="B3235" s="61" t="s">
        <v>19</v>
      </c>
      <c r="C3235" s="61"/>
      <c r="D3235" s="66">
        <v>1.15</v>
      </c>
    </row>
    <row r="3236" spans="2:4" ht="12.75">
      <c r="B3236" s="54"/>
      <c r="C3236" s="40" t="s">
        <v>21</v>
      </c>
      <c r="D3236" s="66">
        <f>D3225+D3226+D3230+D3235</f>
        <v>89.83</v>
      </c>
    </row>
    <row r="3237" spans="2:4" ht="12.75">
      <c r="B3237" s="55">
        <v>4</v>
      </c>
      <c r="C3237" s="60" t="s">
        <v>9</v>
      </c>
      <c r="D3237" s="66">
        <f>D3236-D3222/1000</f>
        <v>50.62751</v>
      </c>
    </row>
    <row r="3238" spans="2:4" ht="12.75">
      <c r="B3238" s="69"/>
      <c r="C3238" s="69"/>
      <c r="D3238" s="69"/>
    </row>
    <row r="3239" spans="2:4" ht="12.75">
      <c r="B3239" s="70" t="s">
        <v>47</v>
      </c>
      <c r="C3239" s="70"/>
      <c r="D3239" s="70"/>
    </row>
  </sheetData>
  <sheetProtection selectLockedCells="1" selectUnlockedCells="1"/>
  <mergeCells count="1068">
    <mergeCell ref="B4:D4"/>
    <mergeCell ref="B5:D5"/>
    <mergeCell ref="B6:D6"/>
    <mergeCell ref="B26:D26"/>
    <mergeCell ref="B29:E29"/>
    <mergeCell ref="B30:E30"/>
    <mergeCell ref="B31:E31"/>
    <mergeCell ref="B32:E32"/>
    <mergeCell ref="D34:E34"/>
    <mergeCell ref="B50:E50"/>
    <mergeCell ref="B52:D52"/>
    <mergeCell ref="B53:D53"/>
    <mergeCell ref="B54:D54"/>
    <mergeCell ref="B66:C66"/>
    <mergeCell ref="B67:C67"/>
    <mergeCell ref="B70:C70"/>
    <mergeCell ref="B71:C71"/>
    <mergeCell ref="B76:C76"/>
    <mergeCell ref="B77:C77"/>
    <mergeCell ref="B81:D81"/>
    <mergeCell ref="B84:D84"/>
    <mergeCell ref="B85:D85"/>
    <mergeCell ref="B86:D86"/>
    <mergeCell ref="B98:C98"/>
    <mergeCell ref="B99:C99"/>
    <mergeCell ref="B102:C102"/>
    <mergeCell ref="B103:C103"/>
    <mergeCell ref="B108:C108"/>
    <mergeCell ref="B109:C109"/>
    <mergeCell ref="B110:C110"/>
    <mergeCell ref="B114:D114"/>
    <mergeCell ref="B116:D116"/>
    <mergeCell ref="B117:D117"/>
    <mergeCell ref="B118:D118"/>
    <mergeCell ref="B130:C130"/>
    <mergeCell ref="B131:C131"/>
    <mergeCell ref="B134:C134"/>
    <mergeCell ref="B135:C135"/>
    <mergeCell ref="B140:C140"/>
    <mergeCell ref="B141:C141"/>
    <mergeCell ref="B145:D145"/>
    <mergeCell ref="B147:D147"/>
    <mergeCell ref="B148:D148"/>
    <mergeCell ref="B149:D149"/>
    <mergeCell ref="B161:C161"/>
    <mergeCell ref="B162:C162"/>
    <mergeCell ref="B165:C165"/>
    <mergeCell ref="B166:C166"/>
    <mergeCell ref="B171:C171"/>
    <mergeCell ref="B172:C172"/>
    <mergeCell ref="B176:D176"/>
    <mergeCell ref="B178:D178"/>
    <mergeCell ref="B179:D179"/>
    <mergeCell ref="B180:D180"/>
    <mergeCell ref="B192:C192"/>
    <mergeCell ref="B193:C193"/>
    <mergeCell ref="B196:C196"/>
    <mergeCell ref="B197:C197"/>
    <mergeCell ref="B202:C202"/>
    <mergeCell ref="B203:C203"/>
    <mergeCell ref="B207:D207"/>
    <mergeCell ref="B209:D209"/>
    <mergeCell ref="B210:D210"/>
    <mergeCell ref="B211:D211"/>
    <mergeCell ref="B223:C223"/>
    <mergeCell ref="B224:C224"/>
    <mergeCell ref="B227:C227"/>
    <mergeCell ref="B228:C228"/>
    <mergeCell ref="B233:C233"/>
    <mergeCell ref="B234:C234"/>
    <mergeCell ref="B238:D238"/>
    <mergeCell ref="B240:D240"/>
    <mergeCell ref="B241:D241"/>
    <mergeCell ref="B242:D242"/>
    <mergeCell ref="B254:C254"/>
    <mergeCell ref="B255:C255"/>
    <mergeCell ref="B258:C258"/>
    <mergeCell ref="B259:C259"/>
    <mergeCell ref="B264:C264"/>
    <mergeCell ref="B265:C265"/>
    <mergeCell ref="B266:C266"/>
    <mergeCell ref="B270:D270"/>
    <mergeCell ref="B272:D272"/>
    <mergeCell ref="B273:D273"/>
    <mergeCell ref="B274:D274"/>
    <mergeCell ref="B286:C286"/>
    <mergeCell ref="B287:C287"/>
    <mergeCell ref="B290:C290"/>
    <mergeCell ref="B291:C291"/>
    <mergeCell ref="B296:C296"/>
    <mergeCell ref="B297:C297"/>
    <mergeCell ref="B301:D301"/>
    <mergeCell ref="B303:D303"/>
    <mergeCell ref="B304:D304"/>
    <mergeCell ref="B305:D305"/>
    <mergeCell ref="B317:C317"/>
    <mergeCell ref="B318:C318"/>
    <mergeCell ref="B321:C321"/>
    <mergeCell ref="B322:C322"/>
    <mergeCell ref="B327:C327"/>
    <mergeCell ref="B328:C328"/>
    <mergeCell ref="B332:D332"/>
    <mergeCell ref="B334:D334"/>
    <mergeCell ref="B335:D335"/>
    <mergeCell ref="B336:D336"/>
    <mergeCell ref="B344:C344"/>
    <mergeCell ref="B345:C345"/>
    <mergeCell ref="B348:C348"/>
    <mergeCell ref="B349:C349"/>
    <mergeCell ref="B355:C355"/>
    <mergeCell ref="B356:C356"/>
    <mergeCell ref="B360:D360"/>
    <mergeCell ref="B362:D362"/>
    <mergeCell ref="B363:D363"/>
    <mergeCell ref="B364:D364"/>
    <mergeCell ref="B376:C376"/>
    <mergeCell ref="B377:C377"/>
    <mergeCell ref="B380:C380"/>
    <mergeCell ref="B381:C381"/>
    <mergeCell ref="B386:C386"/>
    <mergeCell ref="B387:C387"/>
    <mergeCell ref="B391:D391"/>
    <mergeCell ref="B393:D393"/>
    <mergeCell ref="B394:D394"/>
    <mergeCell ref="B395:D395"/>
    <mergeCell ref="B407:C407"/>
    <mergeCell ref="B408:C408"/>
    <mergeCell ref="B411:C411"/>
    <mergeCell ref="B412:C412"/>
    <mergeCell ref="B417:C417"/>
    <mergeCell ref="B418:C418"/>
    <mergeCell ref="B422:D422"/>
    <mergeCell ref="B424:D424"/>
    <mergeCell ref="B425:D425"/>
    <mergeCell ref="B426:D426"/>
    <mergeCell ref="B438:C438"/>
    <mergeCell ref="B439:C439"/>
    <mergeCell ref="B442:C442"/>
    <mergeCell ref="B443:C443"/>
    <mergeCell ref="B448:C448"/>
    <mergeCell ref="B449:C449"/>
    <mergeCell ref="B453:D453"/>
    <mergeCell ref="B455:D455"/>
    <mergeCell ref="B456:D456"/>
    <mergeCell ref="B457:D457"/>
    <mergeCell ref="B469:C469"/>
    <mergeCell ref="B470:C470"/>
    <mergeCell ref="B473:C473"/>
    <mergeCell ref="B474:C474"/>
    <mergeCell ref="B479:C479"/>
    <mergeCell ref="B480:C480"/>
    <mergeCell ref="B481:C481"/>
    <mergeCell ref="B485:D485"/>
    <mergeCell ref="B488:D488"/>
    <mergeCell ref="B489:D489"/>
    <mergeCell ref="B490:D490"/>
    <mergeCell ref="B502:C502"/>
    <mergeCell ref="B503:C503"/>
    <mergeCell ref="B506:C506"/>
    <mergeCell ref="B507:C507"/>
    <mergeCell ref="B512:C512"/>
    <mergeCell ref="B513:C513"/>
    <mergeCell ref="B517:D517"/>
    <mergeCell ref="B519:D519"/>
    <mergeCell ref="B520:D520"/>
    <mergeCell ref="B521:D521"/>
    <mergeCell ref="B533:C533"/>
    <mergeCell ref="B534:C534"/>
    <mergeCell ref="B537:C537"/>
    <mergeCell ref="B538:C538"/>
    <mergeCell ref="B543:C543"/>
    <mergeCell ref="B544:C544"/>
    <mergeCell ref="B548:D548"/>
    <mergeCell ref="B550:D550"/>
    <mergeCell ref="B551:D551"/>
    <mergeCell ref="B552:D552"/>
    <mergeCell ref="B564:C564"/>
    <mergeCell ref="B565:C565"/>
    <mergeCell ref="B568:C568"/>
    <mergeCell ref="B569:C569"/>
    <mergeCell ref="B575:C575"/>
    <mergeCell ref="B576:C576"/>
    <mergeCell ref="B580:D580"/>
    <mergeCell ref="B582:D582"/>
    <mergeCell ref="B583:D583"/>
    <mergeCell ref="B584:D584"/>
    <mergeCell ref="B596:C596"/>
    <mergeCell ref="B597:C597"/>
    <mergeCell ref="B600:C600"/>
    <mergeCell ref="B601:C601"/>
    <mergeCell ref="B606:C606"/>
    <mergeCell ref="B607:C607"/>
    <mergeCell ref="B611:D611"/>
    <mergeCell ref="B613:D613"/>
    <mergeCell ref="B614:D614"/>
    <mergeCell ref="B615:D615"/>
    <mergeCell ref="B627:C627"/>
    <mergeCell ref="B628:C628"/>
    <mergeCell ref="B631:C631"/>
    <mergeCell ref="B632:C632"/>
    <mergeCell ref="B638:C638"/>
    <mergeCell ref="B639:C639"/>
    <mergeCell ref="B643:D643"/>
    <mergeCell ref="B646:D646"/>
    <mergeCell ref="B647:D647"/>
    <mergeCell ref="B648:D648"/>
    <mergeCell ref="B660:C660"/>
    <mergeCell ref="B661:C661"/>
    <mergeCell ref="B664:C664"/>
    <mergeCell ref="B665:C665"/>
    <mergeCell ref="B670:C670"/>
    <mergeCell ref="B671:C671"/>
    <mergeCell ref="B675:D675"/>
    <mergeCell ref="B677:D677"/>
    <mergeCell ref="B678:D678"/>
    <mergeCell ref="B679:D679"/>
    <mergeCell ref="B687:C687"/>
    <mergeCell ref="B688:C688"/>
    <mergeCell ref="B691:C691"/>
    <mergeCell ref="B692:C692"/>
    <mergeCell ref="B697:C697"/>
    <mergeCell ref="B698:C698"/>
    <mergeCell ref="B699:C699"/>
    <mergeCell ref="B703:D703"/>
    <mergeCell ref="B705:D705"/>
    <mergeCell ref="B706:D706"/>
    <mergeCell ref="B707:D707"/>
    <mergeCell ref="B719:C719"/>
    <mergeCell ref="B720:C720"/>
    <mergeCell ref="B723:C723"/>
    <mergeCell ref="B724:C724"/>
    <mergeCell ref="B729:C729"/>
    <mergeCell ref="B730:C730"/>
    <mergeCell ref="B734:D734"/>
    <mergeCell ref="B736:D736"/>
    <mergeCell ref="B737:D737"/>
    <mergeCell ref="B738:D738"/>
    <mergeCell ref="B750:C750"/>
    <mergeCell ref="B751:C751"/>
    <mergeCell ref="B754:C754"/>
    <mergeCell ref="B755:C755"/>
    <mergeCell ref="B760:C760"/>
    <mergeCell ref="B761:C761"/>
    <mergeCell ref="B765:D765"/>
    <mergeCell ref="B767:D767"/>
    <mergeCell ref="B768:D768"/>
    <mergeCell ref="B769:D769"/>
    <mergeCell ref="B781:C781"/>
    <mergeCell ref="B782:C782"/>
    <mergeCell ref="B785:C785"/>
    <mergeCell ref="B786:C786"/>
    <mergeCell ref="B791:C791"/>
    <mergeCell ref="B792:C792"/>
    <mergeCell ref="B796:D796"/>
    <mergeCell ref="B798:D798"/>
    <mergeCell ref="B799:D799"/>
    <mergeCell ref="B800:D800"/>
    <mergeCell ref="B812:C812"/>
    <mergeCell ref="B813:C813"/>
    <mergeCell ref="B816:C816"/>
    <mergeCell ref="B817:C817"/>
    <mergeCell ref="B823:C823"/>
    <mergeCell ref="B824:C824"/>
    <mergeCell ref="B828:D828"/>
    <mergeCell ref="B830:D830"/>
    <mergeCell ref="B831:D831"/>
    <mergeCell ref="B832:D832"/>
    <mergeCell ref="B844:C844"/>
    <mergeCell ref="B845:C845"/>
    <mergeCell ref="B848:C848"/>
    <mergeCell ref="B849:C849"/>
    <mergeCell ref="B854:C854"/>
    <mergeCell ref="B855:C855"/>
    <mergeCell ref="B859:D859"/>
    <mergeCell ref="B861:D861"/>
    <mergeCell ref="B862:D862"/>
    <mergeCell ref="B863:D863"/>
    <mergeCell ref="B875:C875"/>
    <mergeCell ref="B876:C876"/>
    <mergeCell ref="B879:C879"/>
    <mergeCell ref="B880:C880"/>
    <mergeCell ref="B885:C885"/>
    <mergeCell ref="B886:C886"/>
    <mergeCell ref="B890:D890"/>
    <mergeCell ref="B893:D893"/>
    <mergeCell ref="B894:D894"/>
    <mergeCell ref="B895:D895"/>
    <mergeCell ref="B903:C903"/>
    <mergeCell ref="B904:C904"/>
    <mergeCell ref="B907:C907"/>
    <mergeCell ref="B908:C908"/>
    <mergeCell ref="B913:C913"/>
    <mergeCell ref="B914:C914"/>
    <mergeCell ref="B918:D918"/>
    <mergeCell ref="B921:D921"/>
    <mergeCell ref="B922:D922"/>
    <mergeCell ref="B923:D923"/>
    <mergeCell ref="B935:C935"/>
    <mergeCell ref="B936:C936"/>
    <mergeCell ref="B939:C939"/>
    <mergeCell ref="B940:C940"/>
    <mergeCell ref="B945:C945"/>
    <mergeCell ref="B946:C946"/>
    <mergeCell ref="B947:C947"/>
    <mergeCell ref="B951:D951"/>
    <mergeCell ref="B953:D953"/>
    <mergeCell ref="B954:D954"/>
    <mergeCell ref="B955:D955"/>
    <mergeCell ref="B967:C967"/>
    <mergeCell ref="B968:C968"/>
    <mergeCell ref="B971:C971"/>
    <mergeCell ref="B972:C972"/>
    <mergeCell ref="B977:C977"/>
    <mergeCell ref="B978:C978"/>
    <mergeCell ref="B982:D982"/>
    <mergeCell ref="B984:D984"/>
    <mergeCell ref="B985:D985"/>
    <mergeCell ref="B986:D986"/>
    <mergeCell ref="B998:C998"/>
    <mergeCell ref="B999:C999"/>
    <mergeCell ref="B1002:C1002"/>
    <mergeCell ref="B1003:C1003"/>
    <mergeCell ref="B1008:C1008"/>
    <mergeCell ref="B1009:C1009"/>
    <mergeCell ref="B1013:D1013"/>
    <mergeCell ref="B1015:D1015"/>
    <mergeCell ref="B1016:D1016"/>
    <mergeCell ref="B1017:D1017"/>
    <mergeCell ref="B1029:C1029"/>
    <mergeCell ref="B1030:C1030"/>
    <mergeCell ref="B1033:C1033"/>
    <mergeCell ref="B1034:C1034"/>
    <mergeCell ref="B1040:C1040"/>
    <mergeCell ref="B1041:C1041"/>
    <mergeCell ref="B1045:D1045"/>
    <mergeCell ref="B1047:D1047"/>
    <mergeCell ref="B1048:D1048"/>
    <mergeCell ref="B1049:D1049"/>
    <mergeCell ref="B1061:C1061"/>
    <mergeCell ref="B1062:C1062"/>
    <mergeCell ref="B1065:C1065"/>
    <mergeCell ref="B1066:C1066"/>
    <mergeCell ref="B1071:C1071"/>
    <mergeCell ref="B1072:C1072"/>
    <mergeCell ref="B1073:C1073"/>
    <mergeCell ref="B1077:D1077"/>
    <mergeCell ref="B1079:D1079"/>
    <mergeCell ref="B1080:D1080"/>
    <mergeCell ref="B1081:D1081"/>
    <mergeCell ref="B1093:C1093"/>
    <mergeCell ref="B1094:C1094"/>
    <mergeCell ref="B1097:C1097"/>
    <mergeCell ref="B1098:C1098"/>
    <mergeCell ref="B1103:C1103"/>
    <mergeCell ref="B1104:C1104"/>
    <mergeCell ref="B1108:D1108"/>
    <mergeCell ref="B1110:D1110"/>
    <mergeCell ref="B1111:D1111"/>
    <mergeCell ref="B1112:D1112"/>
    <mergeCell ref="B1124:C1124"/>
    <mergeCell ref="B1125:C1125"/>
    <mergeCell ref="B1128:C1128"/>
    <mergeCell ref="B1129:C1129"/>
    <mergeCell ref="B1134:C1134"/>
    <mergeCell ref="B1135:C1135"/>
    <mergeCell ref="B1139:D1139"/>
    <mergeCell ref="B1141:D1141"/>
    <mergeCell ref="B1142:D1142"/>
    <mergeCell ref="B1143:D1143"/>
    <mergeCell ref="B1155:C1155"/>
    <mergeCell ref="B1156:C1156"/>
    <mergeCell ref="B1159:C1159"/>
    <mergeCell ref="B1160:C1160"/>
    <mergeCell ref="B1165:C1165"/>
    <mergeCell ref="B1166:C1166"/>
    <mergeCell ref="B1170:D1170"/>
    <mergeCell ref="B1172:D1172"/>
    <mergeCell ref="B1173:D1173"/>
    <mergeCell ref="B1174:D1174"/>
    <mergeCell ref="B1186:C1186"/>
    <mergeCell ref="B1187:C1187"/>
    <mergeCell ref="B1190:C1190"/>
    <mergeCell ref="B1191:C1191"/>
    <mergeCell ref="B1196:C1196"/>
    <mergeCell ref="B1197:C1197"/>
    <mergeCell ref="B1201:D1201"/>
    <mergeCell ref="B1204:D1204"/>
    <mergeCell ref="B1205:D1205"/>
    <mergeCell ref="B1206:D1206"/>
    <mergeCell ref="B1218:C1218"/>
    <mergeCell ref="B1219:C1219"/>
    <mergeCell ref="B1222:C1222"/>
    <mergeCell ref="B1223:C1223"/>
    <mergeCell ref="B1228:C1228"/>
    <mergeCell ref="B1229:C1229"/>
    <mergeCell ref="B1230:C1230"/>
    <mergeCell ref="B1234:D1234"/>
    <mergeCell ref="B1236:D1236"/>
    <mergeCell ref="B1237:D1237"/>
    <mergeCell ref="B1238:D1238"/>
    <mergeCell ref="B1250:C1250"/>
    <mergeCell ref="B1251:C1251"/>
    <mergeCell ref="B1254:C1254"/>
    <mergeCell ref="B1255:C1255"/>
    <mergeCell ref="B1260:C1260"/>
    <mergeCell ref="B1261:C1261"/>
    <mergeCell ref="B1265:D1265"/>
    <mergeCell ref="B1267:D1267"/>
    <mergeCell ref="B1268:D1268"/>
    <mergeCell ref="B1269:D1269"/>
    <mergeCell ref="B1281:C1281"/>
    <mergeCell ref="B1282:C1282"/>
    <mergeCell ref="B1285:C1285"/>
    <mergeCell ref="B1286:C1286"/>
    <mergeCell ref="B1291:C1291"/>
    <mergeCell ref="B1292:C1292"/>
    <mergeCell ref="B1293:C1293"/>
    <mergeCell ref="B1297:D1297"/>
    <mergeCell ref="B1299:D1299"/>
    <mergeCell ref="B1300:D1300"/>
    <mergeCell ref="B1301:D1301"/>
    <mergeCell ref="B1313:C1313"/>
    <mergeCell ref="B1314:C1314"/>
    <mergeCell ref="B1317:C1317"/>
    <mergeCell ref="B1318:C1318"/>
    <mergeCell ref="B1323:C1323"/>
    <mergeCell ref="B1324:C1324"/>
    <mergeCell ref="B1328:D1328"/>
    <mergeCell ref="B1331:D1331"/>
    <mergeCell ref="B1332:D1332"/>
    <mergeCell ref="B1333:D1333"/>
    <mergeCell ref="B1345:C1345"/>
    <mergeCell ref="B1346:C1346"/>
    <mergeCell ref="B1349:C1349"/>
    <mergeCell ref="B1350:C1350"/>
    <mergeCell ref="B1355:C1355"/>
    <mergeCell ref="B1356:C1356"/>
    <mergeCell ref="B1360:D1360"/>
    <mergeCell ref="B1363:D1363"/>
    <mergeCell ref="B1364:D1364"/>
    <mergeCell ref="B1365:D1365"/>
    <mergeCell ref="B1377:C1377"/>
    <mergeCell ref="B1378:C1378"/>
    <mergeCell ref="B1381:C1381"/>
    <mergeCell ref="B1382:C1382"/>
    <mergeCell ref="B1387:C1387"/>
    <mergeCell ref="B1388:C1388"/>
    <mergeCell ref="B1389:C1389"/>
    <mergeCell ref="B1393:D1393"/>
    <mergeCell ref="B1395:D1395"/>
    <mergeCell ref="B1396:D1396"/>
    <mergeCell ref="B1397:D1397"/>
    <mergeCell ref="B1409:C1409"/>
    <mergeCell ref="B1410:C1410"/>
    <mergeCell ref="B1413:C1413"/>
    <mergeCell ref="B1414:C1414"/>
    <mergeCell ref="B1419:C1419"/>
    <mergeCell ref="B1420:C1420"/>
    <mergeCell ref="B1424:D1424"/>
    <mergeCell ref="B1426:D1426"/>
    <mergeCell ref="B1427:D1427"/>
    <mergeCell ref="B1428:D1428"/>
    <mergeCell ref="B1440:C1440"/>
    <mergeCell ref="B1441:C1441"/>
    <mergeCell ref="B1444:C1444"/>
    <mergeCell ref="B1445:C1445"/>
    <mergeCell ref="B1450:C1450"/>
    <mergeCell ref="B1451:C1451"/>
    <mergeCell ref="B1452:C1452"/>
    <mergeCell ref="B1456:D1456"/>
    <mergeCell ref="B1458:D1458"/>
    <mergeCell ref="B1459:D1459"/>
    <mergeCell ref="B1460:D1460"/>
    <mergeCell ref="B1472:C1472"/>
    <mergeCell ref="B1473:C1473"/>
    <mergeCell ref="B1476:C1476"/>
    <mergeCell ref="B1477:C1477"/>
    <mergeCell ref="B1482:C1482"/>
    <mergeCell ref="B1483:C1483"/>
    <mergeCell ref="B1487:D1487"/>
    <mergeCell ref="B1489:D1489"/>
    <mergeCell ref="B1490:D1490"/>
    <mergeCell ref="B1491:D1491"/>
    <mergeCell ref="B1499:C1499"/>
    <mergeCell ref="B1500:C1500"/>
    <mergeCell ref="B1503:C1503"/>
    <mergeCell ref="B1504:C1504"/>
    <mergeCell ref="B1509:C1509"/>
    <mergeCell ref="B1510:C1510"/>
    <mergeCell ref="B1514:D1514"/>
    <mergeCell ref="B1516:D1516"/>
    <mergeCell ref="B1517:D1517"/>
    <mergeCell ref="B1518:D1518"/>
    <mergeCell ref="B1530:C1530"/>
    <mergeCell ref="B1531:C1531"/>
    <mergeCell ref="B1534:C1534"/>
    <mergeCell ref="B1535:C1535"/>
    <mergeCell ref="B1540:C1540"/>
    <mergeCell ref="B1541:C1541"/>
    <mergeCell ref="B1542:C1542"/>
    <mergeCell ref="B1546:D1546"/>
    <mergeCell ref="B1548:D1548"/>
    <mergeCell ref="B1549:D1549"/>
    <mergeCell ref="B1550:D1550"/>
    <mergeCell ref="B1562:C1562"/>
    <mergeCell ref="B1563:C1563"/>
    <mergeCell ref="B1566:C1566"/>
    <mergeCell ref="B1567:C1567"/>
    <mergeCell ref="B1572:C1572"/>
    <mergeCell ref="B1573:C1573"/>
    <mergeCell ref="B1577:D1577"/>
    <mergeCell ref="B1579:D1579"/>
    <mergeCell ref="B1580:D1580"/>
    <mergeCell ref="B1581:D1581"/>
    <mergeCell ref="B1589:C1589"/>
    <mergeCell ref="B1590:C1590"/>
    <mergeCell ref="B1593:C1593"/>
    <mergeCell ref="B1594:C1594"/>
    <mergeCell ref="B1599:C1599"/>
    <mergeCell ref="B1600:C1600"/>
    <mergeCell ref="B1601:C1601"/>
    <mergeCell ref="B1605:D1605"/>
    <mergeCell ref="B1607:D1607"/>
    <mergeCell ref="B1608:D1608"/>
    <mergeCell ref="B1609:D1609"/>
    <mergeCell ref="B1621:C1621"/>
    <mergeCell ref="B1622:C1622"/>
    <mergeCell ref="B1625:C1625"/>
    <mergeCell ref="B1626:C1626"/>
    <mergeCell ref="B1631:C1631"/>
    <mergeCell ref="B1632:C1632"/>
    <mergeCell ref="B1636:D1636"/>
    <mergeCell ref="B1638:D1638"/>
    <mergeCell ref="B1639:D1639"/>
    <mergeCell ref="B1640:D1640"/>
    <mergeCell ref="B1652:C1652"/>
    <mergeCell ref="B1653:C1653"/>
    <mergeCell ref="B1656:C1656"/>
    <mergeCell ref="B1657:C1657"/>
    <mergeCell ref="B1662:C1662"/>
    <mergeCell ref="B1663:C1663"/>
    <mergeCell ref="B1667:D1667"/>
    <mergeCell ref="B1669:D1669"/>
    <mergeCell ref="B1670:D1670"/>
    <mergeCell ref="B1671:D1671"/>
    <mergeCell ref="B1683:C1683"/>
    <mergeCell ref="B1684:C1684"/>
    <mergeCell ref="B1687:C1687"/>
    <mergeCell ref="B1688:C1688"/>
    <mergeCell ref="B1693:C1693"/>
    <mergeCell ref="B1694:C1694"/>
    <mergeCell ref="B1698:D1698"/>
    <mergeCell ref="B1700:D1700"/>
    <mergeCell ref="B1701:D1701"/>
    <mergeCell ref="B1702:D1702"/>
    <mergeCell ref="B1714:C1714"/>
    <mergeCell ref="B1715:C1715"/>
    <mergeCell ref="B1718:C1718"/>
    <mergeCell ref="B1719:C1719"/>
    <mergeCell ref="B1724:C1724"/>
    <mergeCell ref="B1725:C1725"/>
    <mergeCell ref="B1729:D1729"/>
    <mergeCell ref="B1731:D1731"/>
    <mergeCell ref="B1732:D1732"/>
    <mergeCell ref="B1733:D1733"/>
    <mergeCell ref="B1745:C1745"/>
    <mergeCell ref="B1746:C1746"/>
    <mergeCell ref="B1749:C1749"/>
    <mergeCell ref="B1750:C1750"/>
    <mergeCell ref="B1755:C1755"/>
    <mergeCell ref="B1756:C1756"/>
    <mergeCell ref="B1760:D1760"/>
    <mergeCell ref="B1762:D1762"/>
    <mergeCell ref="B1763:D1763"/>
    <mergeCell ref="B1764:D1764"/>
    <mergeCell ref="B1776:C1776"/>
    <mergeCell ref="B1777:C1777"/>
    <mergeCell ref="B1780:C1780"/>
    <mergeCell ref="B1781:C1781"/>
    <mergeCell ref="B1786:C1786"/>
    <mergeCell ref="B1787:C1787"/>
    <mergeCell ref="B1791:D1791"/>
    <mergeCell ref="B1793:D1793"/>
    <mergeCell ref="B1794:D1794"/>
    <mergeCell ref="B1795:D1795"/>
    <mergeCell ref="B1807:C1807"/>
    <mergeCell ref="B1808:C1808"/>
    <mergeCell ref="B1811:C1811"/>
    <mergeCell ref="B1812:C1812"/>
    <mergeCell ref="B1817:C1817"/>
    <mergeCell ref="B1818:C1818"/>
    <mergeCell ref="B1822:D1822"/>
    <mergeCell ref="B1824:D1824"/>
    <mergeCell ref="B1825:D1825"/>
    <mergeCell ref="B1826:D1826"/>
    <mergeCell ref="B1838:C1838"/>
    <mergeCell ref="B1839:C1839"/>
    <mergeCell ref="B1842:C1842"/>
    <mergeCell ref="B1843:C1843"/>
    <mergeCell ref="B1848:C1848"/>
    <mergeCell ref="B1849:C1849"/>
    <mergeCell ref="B1853:D1853"/>
    <mergeCell ref="B1855:D1855"/>
    <mergeCell ref="B1856:D1856"/>
    <mergeCell ref="B1857:D1857"/>
    <mergeCell ref="B1865:C1865"/>
    <mergeCell ref="B1866:C1866"/>
    <mergeCell ref="B1869:C1869"/>
    <mergeCell ref="B1870:C1870"/>
    <mergeCell ref="B1875:C1875"/>
    <mergeCell ref="B1876:C1876"/>
    <mergeCell ref="B1877:C1877"/>
    <mergeCell ref="B1881:D1881"/>
    <mergeCell ref="B1883:D1883"/>
    <mergeCell ref="B1884:D1884"/>
    <mergeCell ref="B1885:D1885"/>
    <mergeCell ref="B1893:C1893"/>
    <mergeCell ref="B1894:C1894"/>
    <mergeCell ref="B1897:C1897"/>
    <mergeCell ref="B1898:C1898"/>
    <mergeCell ref="B1903:C1903"/>
    <mergeCell ref="B1904:C1904"/>
    <mergeCell ref="B1905:C1905"/>
    <mergeCell ref="B1909:D1909"/>
    <mergeCell ref="B1911:D1911"/>
    <mergeCell ref="B1912:D1912"/>
    <mergeCell ref="B1913:D1913"/>
    <mergeCell ref="B1921:C1921"/>
    <mergeCell ref="B1922:C1922"/>
    <mergeCell ref="B1925:C1925"/>
    <mergeCell ref="B1926:C1926"/>
    <mergeCell ref="B1931:C1931"/>
    <mergeCell ref="B1932:C1932"/>
    <mergeCell ref="B1933:C1933"/>
    <mergeCell ref="B1937:D1937"/>
    <mergeCell ref="B1939:D1939"/>
    <mergeCell ref="B1940:D1940"/>
    <mergeCell ref="B1941:D1941"/>
    <mergeCell ref="B1949:C1949"/>
    <mergeCell ref="B1950:C1950"/>
    <mergeCell ref="B1953:C1953"/>
    <mergeCell ref="B1954:C1954"/>
    <mergeCell ref="B1959:C1959"/>
    <mergeCell ref="B1960:C1960"/>
    <mergeCell ref="B1961:C1961"/>
    <mergeCell ref="B1965:D1965"/>
    <mergeCell ref="B1968:D1968"/>
    <mergeCell ref="B1969:D1969"/>
    <mergeCell ref="B1970:D1970"/>
    <mergeCell ref="B1982:C1982"/>
    <mergeCell ref="B1983:C1983"/>
    <mergeCell ref="B1986:C1986"/>
    <mergeCell ref="B1987:C1987"/>
    <mergeCell ref="B1992:C1992"/>
    <mergeCell ref="B1993:C1993"/>
    <mergeCell ref="B1997:D1997"/>
    <mergeCell ref="B1999:D1999"/>
    <mergeCell ref="B2000:D2000"/>
    <mergeCell ref="B2001:D2001"/>
    <mergeCell ref="B2013:C2013"/>
    <mergeCell ref="B2014:C2014"/>
    <mergeCell ref="B2017:C2017"/>
    <mergeCell ref="B2018:C2018"/>
    <mergeCell ref="B2023:C2023"/>
    <mergeCell ref="B2024:C2024"/>
    <mergeCell ref="B2028:D2028"/>
    <mergeCell ref="B2030:D2030"/>
    <mergeCell ref="B2031:D2031"/>
    <mergeCell ref="B2032:D2032"/>
    <mergeCell ref="B2044:C2044"/>
    <mergeCell ref="B2045:C2045"/>
    <mergeCell ref="B2048:C2048"/>
    <mergeCell ref="B2049:C2049"/>
    <mergeCell ref="B2054:C2054"/>
    <mergeCell ref="B2055:C2055"/>
    <mergeCell ref="B2056:C2056"/>
    <mergeCell ref="B2060:D2060"/>
    <mergeCell ref="B2062:D2062"/>
    <mergeCell ref="B2063:D2063"/>
    <mergeCell ref="B2064:D2064"/>
    <mergeCell ref="B2076:C2076"/>
    <mergeCell ref="B2077:C2077"/>
    <mergeCell ref="B2080:C2080"/>
    <mergeCell ref="B2081:C2081"/>
    <mergeCell ref="B2086:C2086"/>
    <mergeCell ref="B2087:C2087"/>
    <mergeCell ref="B2088:C2088"/>
    <mergeCell ref="B2092:D2092"/>
    <mergeCell ref="B2094:D2094"/>
    <mergeCell ref="B2095:D2095"/>
    <mergeCell ref="B2096:D2096"/>
    <mergeCell ref="B2108:C2108"/>
    <mergeCell ref="B2109:C2109"/>
    <mergeCell ref="B2112:C2112"/>
    <mergeCell ref="B2113:C2113"/>
    <mergeCell ref="B2118:C2118"/>
    <mergeCell ref="B2119:C2119"/>
    <mergeCell ref="B2120:C2120"/>
    <mergeCell ref="B2124:D2124"/>
    <mergeCell ref="B2126:D2126"/>
    <mergeCell ref="B2127:D2127"/>
    <mergeCell ref="B2128:D2128"/>
    <mergeCell ref="B2140:C2140"/>
    <mergeCell ref="B2141:C2141"/>
    <mergeCell ref="B2144:C2144"/>
    <mergeCell ref="B2145:C2145"/>
    <mergeCell ref="B2150:C2150"/>
    <mergeCell ref="B2151:C2151"/>
    <mergeCell ref="B2152:C2152"/>
    <mergeCell ref="B2156:D2156"/>
    <mergeCell ref="B2158:D2158"/>
    <mergeCell ref="B2159:D2159"/>
    <mergeCell ref="B2160:D2160"/>
    <mergeCell ref="B2172:C2172"/>
    <mergeCell ref="B2173:C2173"/>
    <mergeCell ref="B2176:C2176"/>
    <mergeCell ref="B2177:C2177"/>
    <mergeCell ref="B2182:C2182"/>
    <mergeCell ref="B2183:C2183"/>
    <mergeCell ref="B2187:D2187"/>
    <mergeCell ref="B2189:D2189"/>
    <mergeCell ref="B2190:D2190"/>
    <mergeCell ref="B2191:D2191"/>
    <mergeCell ref="B2203:C2203"/>
    <mergeCell ref="B2204:C2204"/>
    <mergeCell ref="B2207:C2207"/>
    <mergeCell ref="B2208:C2208"/>
    <mergeCell ref="B2213:C2213"/>
    <mergeCell ref="B2214:C2214"/>
    <mergeCell ref="B2218:D2218"/>
    <mergeCell ref="B2220:D2220"/>
    <mergeCell ref="B2221:D2221"/>
    <mergeCell ref="B2222:D2222"/>
    <mergeCell ref="B2234:C2234"/>
    <mergeCell ref="B2235:C2235"/>
    <mergeCell ref="B2238:C2238"/>
    <mergeCell ref="B2239:C2239"/>
    <mergeCell ref="B2244:C2244"/>
    <mergeCell ref="B2245:C2245"/>
    <mergeCell ref="B2249:D2249"/>
    <mergeCell ref="B2251:D2251"/>
    <mergeCell ref="B2252:D2252"/>
    <mergeCell ref="B2253:D2253"/>
    <mergeCell ref="B2265:C2265"/>
    <mergeCell ref="B2266:C2266"/>
    <mergeCell ref="B2269:C2269"/>
    <mergeCell ref="B2270:C2270"/>
    <mergeCell ref="B2275:C2275"/>
    <mergeCell ref="B2276:C2276"/>
    <mergeCell ref="B2280:D2280"/>
    <mergeCell ref="B2282:D2282"/>
    <mergeCell ref="B2283:D2283"/>
    <mergeCell ref="B2284:D2284"/>
    <mergeCell ref="B2296:C2296"/>
    <mergeCell ref="B2297:C2297"/>
    <mergeCell ref="B2300:C2300"/>
    <mergeCell ref="B2301:C2301"/>
    <mergeCell ref="B2306:C2306"/>
    <mergeCell ref="B2307:C2307"/>
    <mergeCell ref="B2311:D2311"/>
    <mergeCell ref="B2313:D2313"/>
    <mergeCell ref="B2314:D2314"/>
    <mergeCell ref="B2315:D2315"/>
    <mergeCell ref="B2323:C2323"/>
    <mergeCell ref="B2324:C2324"/>
    <mergeCell ref="B2327:C2327"/>
    <mergeCell ref="B2328:C2328"/>
    <mergeCell ref="B2333:C2333"/>
    <mergeCell ref="B2334:C2334"/>
    <mergeCell ref="B2335:C2335"/>
    <mergeCell ref="B2339:D2339"/>
    <mergeCell ref="B2341:D2341"/>
    <mergeCell ref="B2342:D2342"/>
    <mergeCell ref="B2343:D2343"/>
    <mergeCell ref="B2355:C2355"/>
    <mergeCell ref="B2356:C2356"/>
    <mergeCell ref="B2359:C2359"/>
    <mergeCell ref="B2360:C2360"/>
    <mergeCell ref="B2365:C2365"/>
    <mergeCell ref="B2366:C2366"/>
    <mergeCell ref="B2370:D2370"/>
    <mergeCell ref="B2372:D2372"/>
    <mergeCell ref="B2373:D2373"/>
    <mergeCell ref="B2374:D2374"/>
    <mergeCell ref="B2382:C2382"/>
    <mergeCell ref="B2383:C2383"/>
    <mergeCell ref="B2386:C2386"/>
    <mergeCell ref="B2387:C2387"/>
    <mergeCell ref="B2392:C2392"/>
    <mergeCell ref="B2393:C2393"/>
    <mergeCell ref="B2397:D2397"/>
    <mergeCell ref="B2399:D2399"/>
    <mergeCell ref="B2400:D2400"/>
    <mergeCell ref="B2401:D2401"/>
    <mergeCell ref="B2413:C2413"/>
    <mergeCell ref="B2414:C2414"/>
    <mergeCell ref="B2417:C2417"/>
    <mergeCell ref="B2418:C2418"/>
    <mergeCell ref="B2423:C2423"/>
    <mergeCell ref="B2424:C2424"/>
    <mergeCell ref="B2428:D2428"/>
    <mergeCell ref="B2430:D2430"/>
    <mergeCell ref="B2431:D2431"/>
    <mergeCell ref="B2432:D2432"/>
    <mergeCell ref="B2444:C2444"/>
    <mergeCell ref="B2445:C2445"/>
    <mergeCell ref="B2448:C2448"/>
    <mergeCell ref="B2449:C2449"/>
    <mergeCell ref="B2454:C2454"/>
    <mergeCell ref="B2455:C2455"/>
    <mergeCell ref="B2456:C2456"/>
    <mergeCell ref="B2460:D2460"/>
    <mergeCell ref="B2462:D2462"/>
    <mergeCell ref="B2463:D2463"/>
    <mergeCell ref="B2464:D2464"/>
    <mergeCell ref="B2476:C2476"/>
    <mergeCell ref="B2477:C2477"/>
    <mergeCell ref="B2480:C2480"/>
    <mergeCell ref="B2481:C2481"/>
    <mergeCell ref="B2486:C2486"/>
    <mergeCell ref="B2487:C2487"/>
    <mergeCell ref="B2491:D2491"/>
    <mergeCell ref="B2493:D2493"/>
    <mergeCell ref="B2494:D2494"/>
    <mergeCell ref="B2495:D2495"/>
    <mergeCell ref="B2507:C2507"/>
    <mergeCell ref="B2508:C2508"/>
    <mergeCell ref="B2511:C2511"/>
    <mergeCell ref="B2512:C2512"/>
    <mergeCell ref="B2517:C2517"/>
    <mergeCell ref="B2518:C2518"/>
    <mergeCell ref="B2522:D2522"/>
    <mergeCell ref="B2524:D2524"/>
    <mergeCell ref="B2525:D2525"/>
    <mergeCell ref="B2526:D2526"/>
    <mergeCell ref="B2538:C2538"/>
    <mergeCell ref="B2539:C2539"/>
    <mergeCell ref="B2542:C2542"/>
    <mergeCell ref="B2543:C2543"/>
    <mergeCell ref="B2548:C2548"/>
    <mergeCell ref="B2549:C2549"/>
    <mergeCell ref="B2553:D2553"/>
    <mergeCell ref="B2555:D2555"/>
    <mergeCell ref="B2556:D2556"/>
    <mergeCell ref="B2557:D2557"/>
    <mergeCell ref="B2565:C2565"/>
    <mergeCell ref="B2566:C2566"/>
    <mergeCell ref="B2569:C2569"/>
    <mergeCell ref="B2570:C2570"/>
    <mergeCell ref="B2575:C2575"/>
    <mergeCell ref="B2576:C2576"/>
    <mergeCell ref="B2577:C2577"/>
    <mergeCell ref="B2581:D2581"/>
    <mergeCell ref="B2583:D2583"/>
    <mergeCell ref="B2584:D2584"/>
    <mergeCell ref="B2585:D2585"/>
    <mergeCell ref="B2597:C2597"/>
    <mergeCell ref="B2598:C2598"/>
    <mergeCell ref="B2601:C2601"/>
    <mergeCell ref="B2602:C2602"/>
    <mergeCell ref="B2607:C2607"/>
    <mergeCell ref="B2608:C2608"/>
    <mergeCell ref="B2612:D2612"/>
    <mergeCell ref="B2614:D2614"/>
    <mergeCell ref="B2615:D2615"/>
    <mergeCell ref="B2616:D2616"/>
    <mergeCell ref="B2628:C2628"/>
    <mergeCell ref="B2629:C2629"/>
    <mergeCell ref="B2632:C2632"/>
    <mergeCell ref="B2633:C2633"/>
    <mergeCell ref="B2638:C2638"/>
    <mergeCell ref="B2639:C2639"/>
    <mergeCell ref="B2643:D2643"/>
    <mergeCell ref="B2645:D2645"/>
    <mergeCell ref="B2646:D2646"/>
    <mergeCell ref="B2647:D2647"/>
    <mergeCell ref="B2659:C2659"/>
    <mergeCell ref="B2660:C2660"/>
    <mergeCell ref="B2663:C2663"/>
    <mergeCell ref="B2664:C2664"/>
    <mergeCell ref="B2669:C2669"/>
    <mergeCell ref="B2670:C2670"/>
    <mergeCell ref="B2674:D2674"/>
    <mergeCell ref="B2676:D2676"/>
    <mergeCell ref="B2677:D2677"/>
    <mergeCell ref="B2678:D2678"/>
    <mergeCell ref="B2686:C2686"/>
    <mergeCell ref="B2687:C2687"/>
    <mergeCell ref="B2690:C2690"/>
    <mergeCell ref="B2691:C2691"/>
    <mergeCell ref="B2696:C2696"/>
    <mergeCell ref="B2697:C2697"/>
    <mergeCell ref="B2701:D2701"/>
    <mergeCell ref="B2703:D2703"/>
    <mergeCell ref="B2704:D2704"/>
    <mergeCell ref="B2705:D2705"/>
    <mergeCell ref="B2717:C2717"/>
    <mergeCell ref="B2718:C2718"/>
    <mergeCell ref="B2721:C2721"/>
    <mergeCell ref="B2722:C2722"/>
    <mergeCell ref="B2727:C2727"/>
    <mergeCell ref="B2728:C2728"/>
    <mergeCell ref="B2732:D2732"/>
    <mergeCell ref="B2734:D2734"/>
    <mergeCell ref="B2735:D2735"/>
    <mergeCell ref="B2736:D2736"/>
    <mergeCell ref="B2748:C2748"/>
    <mergeCell ref="B2749:C2749"/>
    <mergeCell ref="B2752:C2752"/>
    <mergeCell ref="B2753:C2753"/>
    <mergeCell ref="B2758:C2758"/>
    <mergeCell ref="B2759:C2759"/>
    <mergeCell ref="B2763:D2763"/>
    <mergeCell ref="B2765:D2765"/>
    <mergeCell ref="B2766:D2766"/>
    <mergeCell ref="B2767:D2767"/>
    <mergeCell ref="B2779:C2779"/>
    <mergeCell ref="B2780:C2780"/>
    <mergeCell ref="B2783:C2783"/>
    <mergeCell ref="B2784:C2784"/>
    <mergeCell ref="B2789:C2789"/>
    <mergeCell ref="B2790:C2790"/>
    <mergeCell ref="B2794:D2794"/>
    <mergeCell ref="B2796:D2796"/>
    <mergeCell ref="B2797:D2797"/>
    <mergeCell ref="B2798:D2798"/>
    <mergeCell ref="B2810:C2810"/>
    <mergeCell ref="B2811:C2811"/>
    <mergeCell ref="B2814:C2814"/>
    <mergeCell ref="B2815:C2815"/>
    <mergeCell ref="B2820:C2820"/>
    <mergeCell ref="B2821:C2821"/>
    <mergeCell ref="B2825:D2825"/>
    <mergeCell ref="B2827:D2827"/>
    <mergeCell ref="B2828:D2828"/>
    <mergeCell ref="B2829:D2829"/>
    <mergeCell ref="B2841:C2841"/>
    <mergeCell ref="B2842:C2842"/>
    <mergeCell ref="B2845:C2845"/>
    <mergeCell ref="B2846:C2846"/>
    <mergeCell ref="B2851:C2851"/>
    <mergeCell ref="B2852:C2852"/>
    <mergeCell ref="B2856:D2856"/>
    <mergeCell ref="B2858:D2858"/>
    <mergeCell ref="B2859:D2859"/>
    <mergeCell ref="B2860:D2860"/>
    <mergeCell ref="B2872:C2872"/>
    <mergeCell ref="B2873:C2873"/>
    <mergeCell ref="B2876:C2876"/>
    <mergeCell ref="B2877:C2877"/>
    <mergeCell ref="B2882:C2882"/>
    <mergeCell ref="B2883:C2883"/>
    <mergeCell ref="B2887:D2887"/>
    <mergeCell ref="B2889:D2889"/>
    <mergeCell ref="B2890:D2890"/>
    <mergeCell ref="B2891:D2891"/>
    <mergeCell ref="B2903:C2903"/>
    <mergeCell ref="B2904:C2904"/>
    <mergeCell ref="B2907:C2907"/>
    <mergeCell ref="B2908:C2908"/>
    <mergeCell ref="B2913:C2913"/>
    <mergeCell ref="B2914:C2914"/>
    <mergeCell ref="B2918:D2918"/>
    <mergeCell ref="B2920:D2920"/>
    <mergeCell ref="B2921:D2921"/>
    <mergeCell ref="B2922:D2922"/>
    <mergeCell ref="B2934:C2934"/>
    <mergeCell ref="B2935:C2935"/>
    <mergeCell ref="B2938:C2938"/>
    <mergeCell ref="B2939:C2939"/>
    <mergeCell ref="B2944:C2944"/>
    <mergeCell ref="B2945:C2945"/>
    <mergeCell ref="B2949:D2949"/>
    <mergeCell ref="B2951:D2951"/>
    <mergeCell ref="B2952:D2952"/>
    <mergeCell ref="B2953:D2953"/>
    <mergeCell ref="B2965:C2965"/>
    <mergeCell ref="B2966:C2966"/>
    <mergeCell ref="B2969:C2969"/>
    <mergeCell ref="B2970:C2970"/>
    <mergeCell ref="B2975:C2975"/>
    <mergeCell ref="B2976:C2976"/>
    <mergeCell ref="B2980:D2980"/>
    <mergeCell ref="B2982:D2982"/>
    <mergeCell ref="B2983:D2983"/>
    <mergeCell ref="B2984:D2984"/>
    <mergeCell ref="B2996:C2996"/>
    <mergeCell ref="B2997:C2997"/>
    <mergeCell ref="B3000:C3000"/>
    <mergeCell ref="B3001:C3001"/>
    <mergeCell ref="B3006:C3006"/>
    <mergeCell ref="B3007:C3007"/>
    <mergeCell ref="B3011:D3011"/>
    <mergeCell ref="B3013:D3013"/>
    <mergeCell ref="B3014:D3014"/>
    <mergeCell ref="B3015:D3015"/>
    <mergeCell ref="B3023:C3023"/>
    <mergeCell ref="B3024:C3024"/>
    <mergeCell ref="B3027:C3027"/>
    <mergeCell ref="B3028:C3028"/>
    <mergeCell ref="B3033:C3033"/>
    <mergeCell ref="B3034:C3034"/>
    <mergeCell ref="B3038:D3038"/>
    <mergeCell ref="B3040:D3040"/>
    <mergeCell ref="B3041:D3041"/>
    <mergeCell ref="B3042:D3042"/>
    <mergeCell ref="B3054:C3054"/>
    <mergeCell ref="B3055:C3055"/>
    <mergeCell ref="B3058:C3058"/>
    <mergeCell ref="B3059:C3059"/>
    <mergeCell ref="B3064:C3064"/>
    <mergeCell ref="B3065:C3065"/>
    <mergeCell ref="B3069:D3069"/>
    <mergeCell ref="B3071:D3071"/>
    <mergeCell ref="B3072:D3072"/>
    <mergeCell ref="B3073:D3073"/>
    <mergeCell ref="B3085:C3085"/>
    <mergeCell ref="B3086:C3086"/>
    <mergeCell ref="B3089:C3089"/>
    <mergeCell ref="B3090:C3090"/>
    <mergeCell ref="B3095:C3095"/>
    <mergeCell ref="B3096:C3096"/>
    <mergeCell ref="B3100:D3100"/>
    <mergeCell ref="B3103:D3103"/>
    <mergeCell ref="B3104:D3104"/>
    <mergeCell ref="B3105:D3105"/>
    <mergeCell ref="B3117:C3117"/>
    <mergeCell ref="B3118:C3118"/>
    <mergeCell ref="B3121:C3121"/>
    <mergeCell ref="B3122:C3122"/>
    <mergeCell ref="B3127:C3127"/>
    <mergeCell ref="B3131:D3131"/>
    <mergeCell ref="B3133:D3133"/>
    <mergeCell ref="B3134:D3134"/>
    <mergeCell ref="B3135:D3135"/>
    <mergeCell ref="B3143:C3143"/>
    <mergeCell ref="B3144:C3144"/>
    <mergeCell ref="B3147:C3147"/>
    <mergeCell ref="B3148:C3148"/>
    <mergeCell ref="B3153:C3153"/>
    <mergeCell ref="B3157:D3157"/>
    <mergeCell ref="B3159:D3159"/>
    <mergeCell ref="B3160:D3160"/>
    <mergeCell ref="B3161:D3161"/>
    <mergeCell ref="B3173:C3173"/>
    <mergeCell ref="B3174:C3174"/>
    <mergeCell ref="B3177:C3177"/>
    <mergeCell ref="B3178:C3178"/>
    <mergeCell ref="B3183:C3183"/>
    <mergeCell ref="B3187:D3187"/>
    <mergeCell ref="B3189:D3189"/>
    <mergeCell ref="B3190:D3190"/>
    <mergeCell ref="B3191:D3191"/>
    <mergeCell ref="B3199:C3199"/>
    <mergeCell ref="B3200:C3200"/>
    <mergeCell ref="B3203:C3203"/>
    <mergeCell ref="B3204:C3204"/>
    <mergeCell ref="B3209:C3209"/>
    <mergeCell ref="B3213:D3213"/>
    <mergeCell ref="B3215:D3215"/>
    <mergeCell ref="B3216:D3216"/>
    <mergeCell ref="B3217:D3217"/>
    <mergeCell ref="B3225:C3225"/>
    <mergeCell ref="B3226:C3226"/>
    <mergeCell ref="B3229:C3229"/>
    <mergeCell ref="B3230:C3230"/>
    <mergeCell ref="B3235:C3235"/>
    <mergeCell ref="B3239:D3239"/>
  </mergeCells>
  <printOptions/>
  <pageMargins left="0.7875" right="0.7875" top="0.6298611111111111" bottom="0.629861111111111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125684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2016-03-11T07:07:04Z</cp:lastPrinted>
  <dcterms:created xsi:type="dcterms:W3CDTF">2009-04-16T08:32:48Z</dcterms:created>
  <dcterms:modified xsi:type="dcterms:W3CDTF">2016-03-29T07:19:01Z</dcterms:modified>
  <cp:category/>
  <cp:version/>
  <cp:contentType/>
  <cp:contentStatus/>
  <cp:revision>636</cp:revision>
</cp:coreProperties>
</file>