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Калькуляции 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<sst xmlns="http://schemas.openxmlformats.org/spreadsheetml/2006/main" count="3058" uniqueCount="199">
  <si>
    <t>Калькуляция  содержания и ремонта</t>
  </si>
  <si>
    <t xml:space="preserve">жилищного фонда  на  2 полугодие 2013 г. и 1 полугодие 2014г.  </t>
  </si>
  <si>
    <t>по ООО "Радиострой".</t>
  </si>
  <si>
    <t>т.руб.</t>
  </si>
  <si>
    <t>Показатели</t>
  </si>
  <si>
    <t xml:space="preserve">    Тариф на 2полугодие 2013 г. И 1 полугодие 2014г.</t>
  </si>
  <si>
    <t>Затраты на 1м² ЭОТ ( общий), руб.</t>
  </si>
  <si>
    <t>Затраты на 1 месяц</t>
  </si>
  <si>
    <t>1.Натуральные показатели(тыс.кв.м)</t>
  </si>
  <si>
    <t>Среднеэксплуатируемая приведенная общая площадь жилых помещений</t>
  </si>
  <si>
    <t>Среднеэксплуатируемая  площадь нежилых помещений</t>
  </si>
  <si>
    <t>Всего среднеэксплуатируемая площадь</t>
  </si>
  <si>
    <t>2.Полная себестоимость содержания и ремонта жилищного фонда( тыс.руб)</t>
  </si>
  <si>
    <t>Управляющая компания</t>
  </si>
  <si>
    <t>Ремонт и обслуживание внутридомового инженерного оборудования и конструктивных элементов здания – всего:</t>
  </si>
  <si>
    <t xml:space="preserve"> в том числе :</t>
  </si>
  <si>
    <t>текущий ремонт</t>
  </si>
  <si>
    <t xml:space="preserve"> АРС</t>
  </si>
  <si>
    <t>обходы и техническое обслуживание</t>
  </si>
  <si>
    <t>Благоустройство и обеспечение санитарного состояния жилых зданий и придомовых территорий - всего</t>
  </si>
  <si>
    <t>в том числе:</t>
  </si>
  <si>
    <t xml:space="preserve">    оплата труда рабочих,занятых благоустройство и обслуживанием,отчисления на социальные нужды,спецодежда инвентарь</t>
  </si>
  <si>
    <t xml:space="preserve">    электроэнергия </t>
  </si>
  <si>
    <t xml:space="preserve">    услуги на проведение дератизационных и     дезинфекционных работ</t>
  </si>
  <si>
    <t xml:space="preserve">     обслуживание дымоходов</t>
  </si>
  <si>
    <t xml:space="preserve"> услуги а/транспорта по вывозу крупногобаритного мусора</t>
  </si>
  <si>
    <t xml:space="preserve">   вывоз нечистот</t>
  </si>
  <si>
    <t xml:space="preserve">  Прочие прямые расходы</t>
  </si>
  <si>
    <t>Услуги по начислению и сбору ком. платежей</t>
  </si>
  <si>
    <t xml:space="preserve">  ИТОГО расходов по эксплуатации</t>
  </si>
  <si>
    <t xml:space="preserve">  Рентабельность </t>
  </si>
  <si>
    <t xml:space="preserve">  ВСЕГО ЗАТРАТ</t>
  </si>
  <si>
    <t>Себестоимость содержания и ремонта 1кв.м общей площади жилья</t>
  </si>
  <si>
    <t xml:space="preserve">  </t>
  </si>
  <si>
    <t>Экономически обоснованный тариф на оплату содержания и ремонта 1 кв.м. общей площади жилья (без НДС)</t>
  </si>
  <si>
    <t>Действующий для населения тариф на оплату на 1 кв.м общей площади жилья</t>
  </si>
  <si>
    <t>Директор ООО "Радиострой"                                             С. Б.Кашперская</t>
  </si>
  <si>
    <t>Экономист                                                                          А.И.Николаенко</t>
  </si>
  <si>
    <t xml:space="preserve">жилищного фонда на  2 полугодие 2013г и 1полугодие 2014г.         </t>
  </si>
  <si>
    <t xml:space="preserve">            ООО «Радиострой»  по адресу 30 лет Победы,7.</t>
  </si>
  <si>
    <t xml:space="preserve">        Тариф на  2 полугодие 2013г и 1полугодие 2014г</t>
  </si>
  <si>
    <t>Затраты на 1м², руб.</t>
  </si>
  <si>
    <t>Общая площадь, м²</t>
  </si>
  <si>
    <t>в т.ч.обходы и тех обслуживанрие</t>
  </si>
  <si>
    <t>АРС</t>
  </si>
  <si>
    <t>Оплата труда рабочих,занятых благоустройством и обслуживанием</t>
  </si>
  <si>
    <t>Электроэнергия</t>
  </si>
  <si>
    <t xml:space="preserve">    Услуги на проведение дератизационных и     дезинфекционных работ</t>
  </si>
  <si>
    <t xml:space="preserve">     Обслуживание дымоходов</t>
  </si>
  <si>
    <t>Испытания электрооборудования</t>
  </si>
  <si>
    <t xml:space="preserve">    Услуги а/транспорта по вывозу ТБО</t>
  </si>
  <si>
    <t xml:space="preserve">Рентабельность </t>
  </si>
  <si>
    <t>Директор ООО "Радиострой"                                  С.Б.Кашперская</t>
  </si>
  <si>
    <t xml:space="preserve">            ООО «Радиострой»  по адресу Аэродромный,3.</t>
  </si>
  <si>
    <t xml:space="preserve">      контроль за приборами учета</t>
  </si>
  <si>
    <t xml:space="preserve">            ООО «Радиострой»  по адресу Аэродромный,13.</t>
  </si>
  <si>
    <t xml:space="preserve">            ООО «Радиострой»  по адресу Аэродромный,16.</t>
  </si>
  <si>
    <t xml:space="preserve">            ООО «Радиострой»  по адресу Базарная,10.</t>
  </si>
  <si>
    <t xml:space="preserve">            ООО «Радиострой»  по адресу Базарная,14.</t>
  </si>
  <si>
    <t>в т.ч.обходы и тех обслуживание</t>
  </si>
  <si>
    <t xml:space="preserve">жилищного фонда на  2 полугодие 2013 года и 1 полугодие 2014г.  </t>
  </si>
  <si>
    <t>ООО "Радиострой"по адресу Базарная,20.</t>
  </si>
  <si>
    <t>Благоустроенное жилье</t>
  </si>
  <si>
    <t>Тариф на  2 полугодие 2013г и 1полугодие 2014г</t>
  </si>
  <si>
    <t>Контроль за приборами учета</t>
  </si>
  <si>
    <t>жилищного фонда на 2 полугодие 2013 г и 1 полугодие 2014г.</t>
  </si>
  <si>
    <t xml:space="preserve"> ООО «Радиострой» по адресу Базарная,21а.</t>
  </si>
  <si>
    <t>Вывоз нечистот</t>
  </si>
  <si>
    <t>Всего затрат на 1 м²</t>
  </si>
  <si>
    <t xml:space="preserve"> ООО «Радиострой» по адресу Базарная,21в.</t>
  </si>
  <si>
    <t xml:space="preserve"> ООО «Радиострой» по адресу Базарная,23 а.</t>
  </si>
  <si>
    <t xml:space="preserve"> ООО «Радиострой» по адресу Базарная,23 б.</t>
  </si>
  <si>
    <t xml:space="preserve">               Вывоз нечистот</t>
  </si>
  <si>
    <t xml:space="preserve"> ООО «Радиострой» по адресу Баумана,1а.</t>
  </si>
  <si>
    <t xml:space="preserve"> ООО «Радиострой» по адресу Баумана,1б.</t>
  </si>
  <si>
    <t xml:space="preserve"> ООО «Радиострой» по адресу Баумана,33.</t>
  </si>
  <si>
    <t xml:space="preserve"> ООО «Радиострой» по адресу Баумана,35.</t>
  </si>
  <si>
    <t xml:space="preserve"> ООО «Радиострой» по адресу Баумана,37.</t>
  </si>
  <si>
    <t xml:space="preserve"> ООО «Радиострой» по адресу Баумана,39.</t>
  </si>
  <si>
    <t xml:space="preserve"> ООО «Радиострой» по адресу Деповская,2.</t>
  </si>
  <si>
    <t xml:space="preserve"> ООО «Радиострой» по адресу Дугинец, 28.</t>
  </si>
  <si>
    <t xml:space="preserve"> ООО «Радиострой» по адресу Железнодорожная, 47/1.</t>
  </si>
  <si>
    <t xml:space="preserve"> ООО «Радиострой» по адресу Железнодорожная, 48.</t>
  </si>
  <si>
    <t xml:space="preserve"> ООО «Радиострой» по адресу Железнодорожная, 49.</t>
  </si>
  <si>
    <t xml:space="preserve"> ООО «Радиострой» по адресу Железнодорожная, 81.</t>
  </si>
  <si>
    <t xml:space="preserve"> ООО «Радиострой» по адресу Железнодорожная, 83.</t>
  </si>
  <si>
    <t xml:space="preserve"> ООО «Радиострой» по адресу Железнодорожная, 85.</t>
  </si>
  <si>
    <t xml:space="preserve"> ООО «Радиострой» по адресу Железнодорожная, 87.</t>
  </si>
  <si>
    <t xml:space="preserve"> ООО «Радиострой» по адресу Зеленая,1/ Целинная,2.</t>
  </si>
  <si>
    <t xml:space="preserve"> ООО «Радиострой» по адресу Коммунальный, 6.</t>
  </si>
  <si>
    <t xml:space="preserve"> ООО «Радиострой» по адресу Кочубея. 3.</t>
  </si>
  <si>
    <t xml:space="preserve"> ООО «Радиострой» по адресу Красная,15.</t>
  </si>
  <si>
    <t xml:space="preserve"> ООО «Радиострой» по адресу Красная, 23.</t>
  </si>
  <si>
    <t xml:space="preserve"> ООО «Радиострой» по адресу Красная, 27.</t>
  </si>
  <si>
    <t xml:space="preserve"> ООО «Радиострой» по адресу Красная, 33.</t>
  </si>
  <si>
    <t xml:space="preserve"> ООО «Радиострой» по адресу Красная, 39.</t>
  </si>
  <si>
    <t xml:space="preserve"> ООО «Радиострой» по адресу Красная, 45.</t>
  </si>
  <si>
    <t xml:space="preserve"> ООО «Радиострой» по адресу Красная, 52.</t>
  </si>
  <si>
    <t xml:space="preserve"> ООО «Радиострой» по адресу Красная, 54.</t>
  </si>
  <si>
    <t xml:space="preserve"> ООО «Радиострой» по адресу Красная, 57.</t>
  </si>
  <si>
    <t xml:space="preserve"> ООО «Радиострой» по адресу Красная, 59.</t>
  </si>
  <si>
    <t>в том числе :</t>
  </si>
  <si>
    <t>обходы и тех обслуживанрие</t>
  </si>
  <si>
    <t>Благоустройство и обеспечение санитарного состояния жилых зданий и придомовых территорий – всего</t>
  </si>
  <si>
    <t xml:space="preserve"> оплата труда рабочих,занятых благоустройством и обслуживанием</t>
  </si>
  <si>
    <t>электроэнергия</t>
  </si>
  <si>
    <t xml:space="preserve">   услуги на проведение дератизационных и дезинфекционных работ</t>
  </si>
  <si>
    <t xml:space="preserve">    обслуживание дымоходов</t>
  </si>
  <si>
    <t>испытания электрооборудования</t>
  </si>
  <si>
    <t xml:space="preserve">    услуги а/транспорта по вывозу крупногобаритного мусора</t>
  </si>
  <si>
    <t xml:space="preserve"> ООО «Радиострой» по адресу Красная, 65.</t>
  </si>
  <si>
    <t xml:space="preserve"> ООО «Радиострой» по адресу Красная, 67.</t>
  </si>
  <si>
    <t xml:space="preserve"> ООО «Радиострой» по адресу Красная, 70.</t>
  </si>
  <si>
    <t xml:space="preserve"> ООО «Радиострой» по адресу Красная, 72.</t>
  </si>
  <si>
    <t xml:space="preserve"> ООО «Радиострой» по адресу Красная, 83.</t>
  </si>
  <si>
    <t xml:space="preserve"> ООО «Радиострой» по адресу Красная, 96.</t>
  </si>
  <si>
    <t xml:space="preserve"> ООО «Радиострой» по адресу Красная, 107.</t>
  </si>
  <si>
    <t xml:space="preserve"> ООО «Радиострой» по адресу Красная, 140.</t>
  </si>
  <si>
    <t xml:space="preserve"> ООО «Радиострой» по адресу Красная, 142.</t>
  </si>
  <si>
    <t xml:space="preserve"> ООО «Радиострой» по адресу Красная, 148.</t>
  </si>
  <si>
    <t xml:space="preserve"> ООО «Радиострой» по адресу Красноармейская, 97а.</t>
  </si>
  <si>
    <t xml:space="preserve"> ООО «Радиострой» по адресу Красноармейская, 104,б.</t>
  </si>
  <si>
    <t xml:space="preserve"> ООО «Радиострой» по адресу Красноармейская, 307.</t>
  </si>
  <si>
    <t xml:space="preserve"> ООО «Радиострой» по адресу Красноармейская, 309.</t>
  </si>
  <si>
    <t xml:space="preserve"> ООО «Радиострой» по адресу Красноармейская, 404.</t>
  </si>
  <si>
    <t xml:space="preserve"> ООО «Радиострой» по адресу Красноармейская, 406.</t>
  </si>
  <si>
    <t xml:space="preserve"> ООО «Радиострой» по адресу Красноармейская, 410.</t>
  </si>
  <si>
    <t xml:space="preserve"> ООО «Радиострой» по адресу Красноармейская, 414.</t>
  </si>
  <si>
    <t xml:space="preserve"> ООО «Радиострой» по адресу Красноармейская, 416.</t>
  </si>
  <si>
    <t xml:space="preserve"> ООО «Радиострой» по адресу Краснодарская, 80.</t>
  </si>
  <si>
    <t xml:space="preserve"> ООО «Радиострой» по адресу Краснодарская, 80а</t>
  </si>
  <si>
    <t xml:space="preserve"> ООО «Радиострой» по адресу Краснодарская, 89.</t>
  </si>
  <si>
    <t xml:space="preserve"> ООО «Радиострой» по адресу Краснодарская, 89 а.</t>
  </si>
  <si>
    <t xml:space="preserve"> ООО «Радиострой» по адресу Краснодарская, 91.</t>
  </si>
  <si>
    <t xml:space="preserve"> ООО «Радиострой» по адресу Краснодарская, 93.</t>
  </si>
  <si>
    <t xml:space="preserve"> ООО «Радиострой» по адресу Лермонтова, 7.</t>
  </si>
  <si>
    <t xml:space="preserve"> ООО «Радиострой» по адресу Лесной, 15.</t>
  </si>
  <si>
    <t xml:space="preserve"> ООО «Радиострой» по адресу Мира, 90.</t>
  </si>
  <si>
    <t xml:space="preserve"> ООО «Радиострой» по адресу Мира, 90 а.</t>
  </si>
  <si>
    <t xml:space="preserve"> ООО «Радиострой» по адресу Мира, 92.</t>
  </si>
  <si>
    <t xml:space="preserve"> ООО «Радиострой» по адресу Мира, 94.</t>
  </si>
  <si>
    <t xml:space="preserve"> ООО «Радиострой» по адресу Мира, 121 а.</t>
  </si>
  <si>
    <t xml:space="preserve"> ООО «Радиострой» по адресу Мопровский, 9.</t>
  </si>
  <si>
    <t xml:space="preserve"> ООО «Радиострой» по адресу Новая, 45.</t>
  </si>
  <si>
    <t xml:space="preserve"> ООО «Радиострой» по адресу Новая, 47.</t>
  </si>
  <si>
    <t xml:space="preserve"> ООО «Радиострой» по адресу Новая,49.</t>
  </si>
  <si>
    <t xml:space="preserve"> ООО «Радиострой» по адресу Пушкина, 45.</t>
  </si>
  <si>
    <t xml:space="preserve"> ООО «Радиострой» по адресу Пушкина, 148.</t>
  </si>
  <si>
    <t xml:space="preserve"> ООО «Радиострой» по адресу Пушкина, 148 а.</t>
  </si>
  <si>
    <t xml:space="preserve"> ООО «Радиострой» по адресу С.Лазо, 18.</t>
  </si>
  <si>
    <t xml:space="preserve"> ООО «Радиострой» по адресу С.Лазо, 18 а.</t>
  </si>
  <si>
    <t xml:space="preserve"> ООО «Радиострой» по адресу С.Лазо, 20.</t>
  </si>
  <si>
    <t xml:space="preserve"> ООО «Радиострой» по адресу С.Лазо, 22.</t>
  </si>
  <si>
    <t xml:space="preserve"> ООО «Радиострой» по адресу С.Лазо, 23 б.</t>
  </si>
  <si>
    <t xml:space="preserve"> ООО «Радиострой» по адресу С.Лазо, 24.</t>
  </si>
  <si>
    <t xml:space="preserve"> ООО «Радиострой» по адресу Советская, 24.</t>
  </si>
  <si>
    <t xml:space="preserve"> ООО «Радиострой» по адресу Советская, 26.</t>
  </si>
  <si>
    <t xml:space="preserve"> ООО «Радиострой» по адресу Б.Хмельницкого, 18а.</t>
  </si>
  <si>
    <t xml:space="preserve"> ООО «Радиострой» по адресу Б.Хмельницкого, 63.</t>
  </si>
  <si>
    <t xml:space="preserve"> ООО «Радиострой» по адресу Б.Хмельницкого, 65.</t>
  </si>
  <si>
    <t xml:space="preserve"> ООО «Радиострой» по адресу Б.Хмельницкого, 71.</t>
  </si>
  <si>
    <t xml:space="preserve"> ООО «Радиострой» по адресу Б.Хмельницкого, 75.</t>
  </si>
  <si>
    <t xml:space="preserve"> ООО «Радиострой» по адресу Б.Хмельницкого, 77.</t>
  </si>
  <si>
    <t xml:space="preserve"> ООО «Радиострой» по адресу Черноморская, 77.</t>
  </si>
  <si>
    <t xml:space="preserve"> ООО «Радиострой» по адресу Черноморская. 81.</t>
  </si>
  <si>
    <t xml:space="preserve"> ООО «Радиострой» по адресу Черноморская. 98.</t>
  </si>
  <si>
    <t xml:space="preserve"> ООО «Радиострой» по адресу Черноморская. 100.</t>
  </si>
  <si>
    <t xml:space="preserve"> ООО «Радиострой» по адресу Черноморская. 102.</t>
  </si>
  <si>
    <t xml:space="preserve"> ООО «Радиострой» по адресу Целинная, 148.</t>
  </si>
  <si>
    <t xml:space="preserve"> ООО «Радиострой» по адресу Авиационная, 21.</t>
  </si>
  <si>
    <t xml:space="preserve"> ООО «Радиострой» по адресу Бульварная. 24.</t>
  </si>
  <si>
    <t xml:space="preserve"> ООО «Радиострой» по адресу Бульварная, 25.</t>
  </si>
  <si>
    <t xml:space="preserve"> ООО «Радиострой» по адресу Дугинец, 23.</t>
  </si>
  <si>
    <t xml:space="preserve"> ООО «Радиострой» по адресу Железнодорожная, 7/1.</t>
  </si>
  <si>
    <t xml:space="preserve"> ООО «Радиострой» по адресу Железнодорожная, 12.</t>
  </si>
  <si>
    <t xml:space="preserve"> ООО «Радиострой» по адресу Железнодорожная, 13/1.</t>
  </si>
  <si>
    <t xml:space="preserve"> ООО «Радиострой» по адресу Железнодорожная, 16/1.</t>
  </si>
  <si>
    <t xml:space="preserve"> ООО «Радиострой» по адресу Железнодорожная, 17/1.</t>
  </si>
  <si>
    <t xml:space="preserve"> ООО «Радиострой» по адресу Железнодорожная, 18/1.</t>
  </si>
  <si>
    <t xml:space="preserve"> ООО «Радиострой» по адресу Красноармейская, 97б.</t>
  </si>
  <si>
    <t xml:space="preserve"> ООО «Радиострой» по адресу Мира, 63.</t>
  </si>
  <si>
    <t xml:space="preserve"> ООО «Радиострой» по адресу Пушкина, 31.</t>
  </si>
  <si>
    <t xml:space="preserve"> ООО «Радиострой» по адресу Пушкина,32.</t>
  </si>
  <si>
    <t xml:space="preserve"> ООО «Радиострой» по адресу Пушкина,211а.</t>
  </si>
  <si>
    <t>Всего затрат</t>
  </si>
  <si>
    <t xml:space="preserve"> ООО «Радиострой» по адресу Ростовская, 80.</t>
  </si>
  <si>
    <t xml:space="preserve"> ООО «Радиострой» по адресу Ленина, 156.</t>
  </si>
  <si>
    <t>Коммунальные платежи</t>
  </si>
  <si>
    <t xml:space="preserve"> ООО «Радиострой» по адресу Ленина, 179.</t>
  </si>
  <si>
    <t xml:space="preserve"> ООО «Радиострой» по адресу Ленина, 217.</t>
  </si>
  <si>
    <t xml:space="preserve"> ООО «Радиострой» по адресу Октябрьский, 7.</t>
  </si>
  <si>
    <t xml:space="preserve"> ООО «Радиострой» по адресу 60 лет СССР, 2.</t>
  </si>
  <si>
    <t xml:space="preserve"> ООО «Радиострой» по адресу 60 лет СССР, 7.</t>
  </si>
  <si>
    <t xml:space="preserve"> ООО «Радиострой» по адресу 60 лет СССР, 7а.</t>
  </si>
  <si>
    <t xml:space="preserve"> ООО «Радиострой» по адресу 60 лет СССР, 8.</t>
  </si>
  <si>
    <t xml:space="preserve"> ООО «Радиострой» по адресу 60 лет СССР, 9.</t>
  </si>
  <si>
    <t xml:space="preserve"> ООО «Радиострой» по адресу 60 лет СССР, 10.</t>
  </si>
  <si>
    <t xml:space="preserve"> ООО «Радиострой» по адресу 60 лет СССР, 12.</t>
  </si>
  <si>
    <t xml:space="preserve"> ООО «Радиострой» по адресу 60 лет СССР, 13.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</si>
</sst>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#,##0.00\ [$руб.-419];[RED]\-#,##0.00\ [$руб.-419]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vertical="center" wrapText="1"/>
    </xf>
    <xf numFmtId="164" fontId="2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wrapText="1"/>
    </xf>
    <xf numFmtId="166" fontId="7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64"/>
  <sheetViews>
    <sheetView tabSelected="1" zoomScale="89" zoomScaleNormal="89" workbookViewId="0" topLeftCell="A2342">
      <selection activeCell="E2356" sqref="E2356"/>
    </sheetView>
  </sheetViews>
  <sheetFormatPr defaultColWidth="12.57421875" defaultRowHeight="12.75"/>
  <cols>
    <col min="1" max="1" width="5.140625" style="0" customWidth="1"/>
    <col min="2" max="2" width="40.7109375" style="0" customWidth="1"/>
    <col min="3" max="3" width="12.57421875" style="0" customWidth="1"/>
    <col min="4" max="5" width="10.7109375" style="0" customWidth="1"/>
    <col min="6" max="6" width="12.7109375" style="0" customWidth="1"/>
    <col min="7" max="7" width="8.00390625" style="0" customWidth="1"/>
    <col min="8" max="8" width="8.57421875" style="0" customWidth="1"/>
    <col min="9" max="9" width="36.8515625" style="0" customWidth="1"/>
    <col min="10" max="10" width="41.57421875" style="0" customWidth="1"/>
    <col min="11" max="11" width="15.7109375" style="0" customWidth="1"/>
    <col min="12" max="12" width="11.57421875" style="0" customWidth="1"/>
    <col min="13" max="13" width="11.28125" style="0" customWidth="1"/>
    <col min="14" max="14" width="8.28125" style="0" customWidth="1"/>
    <col min="15" max="15" width="10.57421875" style="0" customWidth="1"/>
    <col min="16" max="16" width="8.8515625" style="0" customWidth="1"/>
    <col min="17" max="16384" width="11.5742187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2" t="s">
        <v>0</v>
      </c>
      <c r="C2" s="2"/>
      <c r="D2" s="2"/>
      <c r="E2" s="1"/>
      <c r="F2" s="1"/>
      <c r="G2" s="1"/>
      <c r="H2" s="1"/>
    </row>
    <row r="3" spans="2:8" ht="12.75">
      <c r="B3" s="2" t="s">
        <v>1</v>
      </c>
      <c r="C3" s="2"/>
      <c r="D3" s="2"/>
      <c r="E3" s="2"/>
      <c r="F3" s="1"/>
      <c r="G3" s="1"/>
      <c r="H3" s="1"/>
    </row>
    <row r="4" spans="2:8" ht="12.75">
      <c r="B4" s="2" t="s">
        <v>2</v>
      </c>
      <c r="C4" s="2"/>
      <c r="D4" s="2"/>
      <c r="E4" s="2"/>
      <c r="F4" s="1"/>
      <c r="G4" s="1"/>
      <c r="H4" s="1"/>
    </row>
    <row r="5" spans="2:8" ht="12.75">
      <c r="B5" s="3"/>
      <c r="C5" s="3"/>
      <c r="D5" s="4" t="s">
        <v>3</v>
      </c>
      <c r="E5" s="1"/>
      <c r="F5" s="1"/>
      <c r="G5" s="1"/>
      <c r="H5" s="1"/>
    </row>
    <row r="6" spans="2:8" ht="12.75">
      <c r="B6" s="5" t="s">
        <v>4</v>
      </c>
      <c r="C6" s="6" t="s">
        <v>5</v>
      </c>
      <c r="D6" s="6" t="s">
        <v>6</v>
      </c>
      <c r="E6" s="6" t="s">
        <v>7</v>
      </c>
      <c r="F6" s="6"/>
      <c r="G6" s="1"/>
      <c r="H6" s="1"/>
    </row>
    <row r="7" spans="2:8" ht="12.75">
      <c r="B7" s="7" t="s">
        <v>8</v>
      </c>
      <c r="C7" s="8"/>
      <c r="D7" s="7"/>
      <c r="E7" s="7"/>
      <c r="F7" s="7"/>
      <c r="G7" s="1"/>
      <c r="H7" s="1"/>
    </row>
    <row r="8" spans="2:8" ht="12.75">
      <c r="B8" s="6" t="s">
        <v>9</v>
      </c>
      <c r="C8" s="6">
        <v>202.43</v>
      </c>
      <c r="D8" s="6"/>
      <c r="E8" s="7"/>
      <c r="F8" s="7"/>
      <c r="G8" s="1"/>
      <c r="H8" s="1"/>
    </row>
    <row r="9" spans="2:8" ht="12.75">
      <c r="B9" s="6" t="s">
        <v>10</v>
      </c>
      <c r="C9" s="6">
        <v>14.09</v>
      </c>
      <c r="D9" s="6"/>
      <c r="E9" s="7"/>
      <c r="F9" s="7"/>
      <c r="G9" s="1"/>
      <c r="H9" s="1"/>
    </row>
    <row r="10" spans="2:8" ht="12.75">
      <c r="B10" s="9" t="s">
        <v>11</v>
      </c>
      <c r="C10" s="10">
        <f>C8+C9</f>
        <v>216.52</v>
      </c>
      <c r="D10" s="10"/>
      <c r="E10" s="7"/>
      <c r="F10" s="7"/>
      <c r="G10" s="1"/>
      <c r="H10" s="1"/>
    </row>
    <row r="11" spans="2:8" ht="12.75">
      <c r="B11" s="11" t="s">
        <v>12</v>
      </c>
      <c r="C11" s="11"/>
      <c r="D11" s="11"/>
      <c r="E11" s="7"/>
      <c r="F11" s="7"/>
      <c r="G11" s="1"/>
      <c r="H11" s="1"/>
    </row>
    <row r="12" spans="2:8" ht="12.75">
      <c r="B12" s="12" t="s">
        <v>13</v>
      </c>
      <c r="C12" s="13">
        <v>4429.8</v>
      </c>
      <c r="D12" s="10">
        <f>C12/216.51/12</f>
        <v>1.705002078425939</v>
      </c>
      <c r="E12" s="14">
        <f>C12/12</f>
        <v>369.15000000000003</v>
      </c>
      <c r="F12" s="14"/>
      <c r="G12" s="1"/>
      <c r="H12" s="1"/>
    </row>
    <row r="13" spans="2:8" ht="12.75">
      <c r="B13" s="15" t="s">
        <v>14</v>
      </c>
      <c r="C13" s="10">
        <f>SUM(C15:C17)</f>
        <v>13742.2</v>
      </c>
      <c r="D13" s="10">
        <f>SUM(D15:D17)</f>
        <v>5.289286099179407</v>
      </c>
      <c r="E13" s="10">
        <f>SUM(E15:E17)</f>
        <v>1145.1833333333334</v>
      </c>
      <c r="F13" s="10"/>
      <c r="G13" s="1"/>
      <c r="H13" s="1"/>
    </row>
    <row r="14" spans="2:8" ht="12.75">
      <c r="B14" s="16" t="s">
        <v>15</v>
      </c>
      <c r="C14" s="10"/>
      <c r="D14" s="10"/>
      <c r="E14" s="10"/>
      <c r="F14" s="10"/>
      <c r="G14" s="1"/>
      <c r="H14" s="1"/>
    </row>
    <row r="15" spans="2:8" ht="12.75">
      <c r="B15" s="16" t="s">
        <v>16</v>
      </c>
      <c r="C15" s="17">
        <f>7811.4+102.4</f>
        <v>7913.799999999999</v>
      </c>
      <c r="D15" s="6">
        <f>C15/216.51/12</f>
        <v>3.0459717026157374</v>
      </c>
      <c r="E15" s="8">
        <f>C15/12</f>
        <v>659.4833333333332</v>
      </c>
      <c r="F15" s="8"/>
      <c r="G15" s="1"/>
      <c r="H15" s="1"/>
    </row>
    <row r="16" spans="2:8" ht="12.75">
      <c r="B16" s="18" t="s">
        <v>17</v>
      </c>
      <c r="C16" s="17">
        <v>1912.7</v>
      </c>
      <c r="D16" s="6">
        <f>C16/216.51/12</f>
        <v>0.7361861653811218</v>
      </c>
      <c r="E16" s="8">
        <f>C16/12</f>
        <v>159.39166666666668</v>
      </c>
      <c r="F16" s="8"/>
      <c r="G16" s="1"/>
      <c r="H16" s="1"/>
    </row>
    <row r="17" spans="2:8" ht="12.75">
      <c r="B17" s="16" t="s">
        <v>18</v>
      </c>
      <c r="C17" s="17">
        <f>1688.9+2226.8</f>
        <v>3915.7000000000003</v>
      </c>
      <c r="D17" s="19">
        <f>C17/216.51/12</f>
        <v>1.5071282311825476</v>
      </c>
      <c r="E17" s="8">
        <f>C17/12</f>
        <v>326.30833333333334</v>
      </c>
      <c r="F17" s="8"/>
      <c r="G17" s="1"/>
      <c r="H17" s="1"/>
    </row>
    <row r="18" spans="2:8" ht="12.75">
      <c r="B18" s="11" t="s">
        <v>19</v>
      </c>
      <c r="C18" s="10">
        <f>SUM(C20:C25)</f>
        <v>7900.5</v>
      </c>
      <c r="D18" s="10">
        <f>SUM(D20:D25)</f>
        <v>3.040852616507321</v>
      </c>
      <c r="E18" s="10">
        <f>SUM(E20:E25)</f>
        <v>658.375</v>
      </c>
      <c r="F18" s="10"/>
      <c r="G18" s="1"/>
      <c r="H18" s="1"/>
    </row>
    <row r="19" spans="2:8" ht="12.75">
      <c r="B19" s="20" t="s">
        <v>20</v>
      </c>
      <c r="C19" s="10"/>
      <c r="D19" s="10"/>
      <c r="E19" s="10"/>
      <c r="F19" s="10"/>
      <c r="G19" s="1"/>
      <c r="H19" s="1"/>
    </row>
    <row r="20" spans="2:8" ht="12.75">
      <c r="B20" s="20" t="s">
        <v>21</v>
      </c>
      <c r="C20" s="6">
        <f>5347.5+1080.2+541.2</f>
        <v>6968.9</v>
      </c>
      <c r="D20" s="6">
        <f>C20/216.51/12</f>
        <v>2.6822856527027237</v>
      </c>
      <c r="E20" s="5">
        <f>C20/12</f>
        <v>580.7416666666667</v>
      </c>
      <c r="F20" s="5"/>
      <c r="G20" s="1"/>
      <c r="H20" s="1"/>
    </row>
    <row r="21" spans="2:8" ht="12.75">
      <c r="B21" s="16" t="s">
        <v>22</v>
      </c>
      <c r="C21" s="8"/>
      <c r="D21" s="6">
        <f>C21/216.51/12</f>
        <v>0</v>
      </c>
      <c r="E21" s="5">
        <f>C21/12</f>
        <v>0</v>
      </c>
      <c r="F21" s="5"/>
      <c r="G21" s="1"/>
      <c r="H21" s="1"/>
    </row>
    <row r="22" spans="2:8" ht="12.75">
      <c r="B22" s="20" t="s">
        <v>23</v>
      </c>
      <c r="C22" s="8">
        <v>102.7</v>
      </c>
      <c r="D22" s="6">
        <f>C22/216.51/12</f>
        <v>0.03952858220559482</v>
      </c>
      <c r="E22" s="5">
        <f>C22/12</f>
        <v>8.558333333333334</v>
      </c>
      <c r="F22" s="5"/>
      <c r="G22" s="1"/>
      <c r="H22" s="1"/>
    </row>
    <row r="23" spans="2:8" ht="12.75">
      <c r="B23" s="16" t="s">
        <v>24</v>
      </c>
      <c r="C23" s="21">
        <v>593</v>
      </c>
      <c r="D23" s="6">
        <f>C23/216.51/12</f>
        <v>0.22824195957076657</v>
      </c>
      <c r="E23" s="5">
        <f>C23/12</f>
        <v>49.416666666666664</v>
      </c>
      <c r="F23" s="5"/>
      <c r="G23" s="1"/>
      <c r="H23" s="1"/>
    </row>
    <row r="24" spans="2:8" ht="12.75">
      <c r="B24" s="20" t="s">
        <v>25</v>
      </c>
      <c r="C24" s="8">
        <v>129.6</v>
      </c>
      <c r="D24" s="6">
        <f>C24/216.51/12</f>
        <v>0.04988222253013718</v>
      </c>
      <c r="E24" s="5">
        <f>C24/12</f>
        <v>10.799999999999999</v>
      </c>
      <c r="F24" s="5"/>
      <c r="G24" s="1"/>
      <c r="H24" s="1"/>
    </row>
    <row r="25" spans="2:8" ht="12.75">
      <c r="B25" s="16" t="s">
        <v>26</v>
      </c>
      <c r="C25" s="8">
        <v>106.3</v>
      </c>
      <c r="D25" s="6">
        <f>C25/216.51/12</f>
        <v>0.04091419949809862</v>
      </c>
      <c r="E25" s="5">
        <f>C25/12</f>
        <v>8.858333333333333</v>
      </c>
      <c r="F25" s="5"/>
      <c r="G25" s="1"/>
      <c r="H25" s="1"/>
    </row>
    <row r="26" spans="2:8" ht="12.75">
      <c r="B26" s="15" t="s">
        <v>27</v>
      </c>
      <c r="C26" s="14">
        <f>3230.3+503.6</f>
        <v>3733.9</v>
      </c>
      <c r="D26" s="10">
        <f>C26/216.51/12</f>
        <v>1.4371545579111051</v>
      </c>
      <c r="E26" s="14">
        <f>C26/12</f>
        <v>311.15833333333336</v>
      </c>
      <c r="F26" s="14"/>
      <c r="G26" s="1"/>
      <c r="H26" s="1"/>
    </row>
    <row r="27" spans="2:8" ht="12.75">
      <c r="B27" s="11" t="s">
        <v>28</v>
      </c>
      <c r="C27" s="14">
        <v>24</v>
      </c>
      <c r="D27" s="22">
        <f>C27/216.51/12</f>
        <v>0.00923744861669207</v>
      </c>
      <c r="E27" s="23">
        <f>C27/12</f>
        <v>2</v>
      </c>
      <c r="F27" s="23"/>
      <c r="G27" s="1"/>
      <c r="H27" s="1"/>
    </row>
    <row r="28" spans="2:8" ht="12.75">
      <c r="B28" s="15" t="s">
        <v>29</v>
      </c>
      <c r="C28" s="14">
        <f>C12+C13+C18+C26+C27</f>
        <v>29830.4</v>
      </c>
      <c r="D28" s="14">
        <f>D12+D13+D18+D26+D27</f>
        <v>11.481532800640466</v>
      </c>
      <c r="E28" s="14">
        <f>E12+E13+E18+E26+E27</f>
        <v>2485.866666666667</v>
      </c>
      <c r="F28" s="14"/>
      <c r="G28" s="1"/>
      <c r="H28" s="1"/>
    </row>
    <row r="29" spans="2:8" ht="12.75">
      <c r="B29" s="16" t="s">
        <v>30</v>
      </c>
      <c r="C29" s="21">
        <v>2983</v>
      </c>
      <c r="D29" s="10">
        <f>C29/216.51/12</f>
        <v>1.1481378843163519</v>
      </c>
      <c r="E29" s="14">
        <f>C29/12</f>
        <v>248.58333333333334</v>
      </c>
      <c r="F29" s="14"/>
      <c r="G29" s="1"/>
      <c r="H29" s="1"/>
    </row>
    <row r="30" spans="2:8" ht="12.75">
      <c r="B30" s="24" t="s">
        <v>31</v>
      </c>
      <c r="C30" s="25">
        <f>C28+C29</f>
        <v>32813.4</v>
      </c>
      <c r="D30" s="23">
        <f>D28+D29</f>
        <v>12.629670684956817</v>
      </c>
      <c r="E30" s="25">
        <f>E28+E29</f>
        <v>2734.4500000000003</v>
      </c>
      <c r="F30" s="25"/>
      <c r="G30" s="1"/>
      <c r="H30" s="1"/>
    </row>
    <row r="31" spans="2:8" ht="12.75">
      <c r="B31" s="6" t="s">
        <v>32</v>
      </c>
      <c r="C31" s="19">
        <f>D28</f>
        <v>11.481532800640466</v>
      </c>
      <c r="D31" s="6" t="s">
        <v>33</v>
      </c>
      <c r="E31" s="8">
        <f>E28/216.51</f>
        <v>11.481532800640464</v>
      </c>
      <c r="F31" s="8"/>
      <c r="G31" s="1"/>
      <c r="H31" s="1"/>
    </row>
    <row r="32" spans="2:8" ht="12.75">
      <c r="B32" s="6" t="s">
        <v>34</v>
      </c>
      <c r="C32" s="19">
        <f>D30</f>
        <v>12.629670684956817</v>
      </c>
      <c r="D32" s="6"/>
      <c r="E32" s="26">
        <f>E30/216.51</f>
        <v>12.629670684956817</v>
      </c>
      <c r="F32" s="26"/>
      <c r="G32" s="1"/>
      <c r="H32" s="1"/>
    </row>
    <row r="33" spans="2:8" ht="12.75">
      <c r="B33" s="6" t="s">
        <v>35</v>
      </c>
      <c r="C33" s="19">
        <f>C32</f>
        <v>12.629670684956817</v>
      </c>
      <c r="D33" s="6"/>
      <c r="E33" s="7"/>
      <c r="F33" s="7"/>
      <c r="G33" s="1"/>
      <c r="H33" s="1"/>
    </row>
    <row r="34" spans="2:8" ht="12.75">
      <c r="B34" s="27"/>
      <c r="C34" s="28"/>
      <c r="D34" s="27"/>
      <c r="E34" s="1"/>
      <c r="F34" s="1"/>
      <c r="G34" s="1"/>
      <c r="H34" s="1"/>
    </row>
    <row r="35" spans="2:8" ht="12.75">
      <c r="B35" s="29" t="s">
        <v>36</v>
      </c>
      <c r="C35" s="29"/>
      <c r="D35" s="29"/>
      <c r="E35" s="29"/>
      <c r="F35" s="1"/>
      <c r="G35" s="1"/>
      <c r="H35" s="1"/>
    </row>
    <row r="36" spans="2:8" ht="12.75">
      <c r="B36" s="29"/>
      <c r="C36" s="29"/>
      <c r="D36" s="30"/>
      <c r="E36" s="1"/>
      <c r="F36" s="1"/>
      <c r="G36" s="1"/>
      <c r="H36" s="1"/>
    </row>
    <row r="37" spans="2:8" ht="12.75">
      <c r="B37" s="29" t="s">
        <v>37</v>
      </c>
      <c r="C37" s="29"/>
      <c r="D37" s="29"/>
      <c r="E37" s="29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2" t="s">
        <v>0</v>
      </c>
      <c r="C42" s="2"/>
      <c r="D42" s="2"/>
      <c r="E42" s="1"/>
      <c r="F42" s="1"/>
      <c r="G42" s="1"/>
      <c r="H42" s="1"/>
    </row>
    <row r="43" spans="2:8" ht="12.75">
      <c r="B43" s="2" t="s">
        <v>38</v>
      </c>
      <c r="C43" s="2"/>
      <c r="D43" s="2"/>
      <c r="E43" s="1"/>
      <c r="F43" s="1"/>
      <c r="G43" s="1"/>
      <c r="H43" s="1"/>
    </row>
    <row r="44" spans="2:8" ht="12.75">
      <c r="B44" s="2" t="s">
        <v>39</v>
      </c>
      <c r="C44" s="2"/>
      <c r="D44" s="2"/>
      <c r="E44" s="1"/>
      <c r="F44" s="1"/>
      <c r="G44" s="1"/>
      <c r="H44" s="1"/>
    </row>
    <row r="45" spans="2:8" ht="12.75">
      <c r="B45" s="29"/>
      <c r="C45" s="29"/>
      <c r="D45" s="29"/>
      <c r="E45" s="1"/>
      <c r="F45" s="1"/>
      <c r="G45" s="1"/>
      <c r="H45" s="1"/>
    </row>
    <row r="46" spans="2:8" ht="12.75">
      <c r="B46" s="5" t="s">
        <v>4</v>
      </c>
      <c r="C46" s="31" t="s">
        <v>40</v>
      </c>
      <c r="D46" s="6" t="s">
        <v>41</v>
      </c>
      <c r="E46" s="1"/>
      <c r="F46" s="1"/>
      <c r="G46" s="1"/>
      <c r="H46" s="1"/>
    </row>
    <row r="47" spans="2:8" ht="12.75">
      <c r="B47" s="6"/>
      <c r="C47" s="8"/>
      <c r="D47" s="7"/>
      <c r="E47" s="1"/>
      <c r="F47" s="1"/>
      <c r="G47" s="1"/>
      <c r="H47" s="1"/>
    </row>
    <row r="48" spans="2:8" ht="12.75">
      <c r="B48" s="10" t="s">
        <v>42</v>
      </c>
      <c r="C48" s="8">
        <v>4044.7</v>
      </c>
      <c r="D48" s="7"/>
      <c r="E48" s="1"/>
      <c r="F48" s="1"/>
      <c r="G48" s="1"/>
      <c r="H48" s="1"/>
    </row>
    <row r="49" spans="2:8" ht="12.75">
      <c r="B49" s="10" t="s">
        <v>13</v>
      </c>
      <c r="C49" s="14">
        <v>82.95</v>
      </c>
      <c r="D49" s="14">
        <f>C49/4044.7/12*1000</f>
        <v>1.7090266274383763</v>
      </c>
      <c r="E49" s="1"/>
      <c r="F49" s="1"/>
      <c r="G49" s="1"/>
      <c r="H49" s="1"/>
    </row>
    <row r="50" spans="2:8" ht="12.75">
      <c r="B50" s="15" t="s">
        <v>14</v>
      </c>
      <c r="C50" s="14">
        <f>SUM(C51:C53)</f>
        <v>233.99</v>
      </c>
      <c r="D50" s="14">
        <f>SUM(D51:D53)</f>
        <v>4.82091790903322</v>
      </c>
      <c r="E50" s="1"/>
      <c r="F50" s="1"/>
      <c r="G50" s="1"/>
      <c r="H50" s="1"/>
    </row>
    <row r="51" spans="2:8" ht="12.75">
      <c r="B51" s="6" t="s">
        <v>43</v>
      </c>
      <c r="C51" s="8">
        <f>31.55+42.71</f>
        <v>74.26</v>
      </c>
      <c r="D51" s="8">
        <f>C51/4044.7/12*1000</f>
        <v>1.5299857426591177</v>
      </c>
      <c r="E51" s="1"/>
      <c r="F51" s="1"/>
      <c r="G51" s="1"/>
      <c r="H51" s="1"/>
    </row>
    <row r="52" spans="2:8" ht="12.75">
      <c r="B52" s="17" t="s">
        <v>44</v>
      </c>
      <c r="C52" s="8">
        <v>35.73</v>
      </c>
      <c r="D52" s="8">
        <f>C52/4044.7/12*1000</f>
        <v>0.7361485400647761</v>
      </c>
      <c r="E52" s="1"/>
      <c r="F52" s="1"/>
      <c r="G52" s="1"/>
      <c r="H52" s="1"/>
    </row>
    <row r="53" spans="2:8" ht="12.75">
      <c r="B53" s="6" t="s">
        <v>16</v>
      </c>
      <c r="C53" s="8">
        <v>124</v>
      </c>
      <c r="D53" s="8">
        <f>C53/4044.7/12*1000</f>
        <v>2.5547836263093266</v>
      </c>
      <c r="E53" s="1"/>
      <c r="F53" s="1"/>
      <c r="G53" s="1"/>
      <c r="H53" s="1"/>
    </row>
    <row r="54" spans="2:8" ht="12.75">
      <c r="B54" s="10" t="s">
        <v>19</v>
      </c>
      <c r="C54" s="22">
        <f>SUM(C55:C60)</f>
        <v>171.89</v>
      </c>
      <c r="D54" s="22">
        <f>SUM(D55:D60)</f>
        <v>3.5414657865025014</v>
      </c>
      <c r="E54" s="1"/>
      <c r="F54" s="1"/>
      <c r="G54" s="1"/>
      <c r="H54" s="1"/>
    </row>
    <row r="55" spans="2:8" ht="12.75">
      <c r="B55" s="6" t="s">
        <v>45</v>
      </c>
      <c r="C55" s="8">
        <f>120.72+24.38+12.22</f>
        <v>157.32</v>
      </c>
      <c r="D55" s="8">
        <f>C55/4044.7/12*1000</f>
        <v>3.2412787104111556</v>
      </c>
      <c r="E55" s="1"/>
      <c r="F55" s="1"/>
      <c r="G55" s="1"/>
      <c r="H55" s="1"/>
    </row>
    <row r="56" spans="2:8" ht="12.75">
      <c r="B56" s="6" t="s">
        <v>46</v>
      </c>
      <c r="C56" s="8"/>
      <c r="D56" s="8">
        <f>C56/4044.7/12*1000</f>
        <v>0</v>
      </c>
      <c r="E56" s="1"/>
      <c r="F56" s="1"/>
      <c r="G56" s="1"/>
      <c r="H56" s="1"/>
    </row>
    <row r="57" spans="2:8" ht="12.75">
      <c r="B57" s="20" t="s">
        <v>47</v>
      </c>
      <c r="C57" s="8">
        <v>2.39</v>
      </c>
      <c r="D57" s="8">
        <f>C57/4044.7/12*1000</f>
        <v>0.049241394087736215</v>
      </c>
      <c r="E57" s="1"/>
      <c r="F57" s="1"/>
      <c r="G57" s="1"/>
      <c r="H57" s="1"/>
    </row>
    <row r="58" spans="2:8" ht="12.75">
      <c r="B58" s="8" t="s">
        <v>48</v>
      </c>
      <c r="C58" s="8">
        <v>9.42</v>
      </c>
      <c r="D58" s="8">
        <f>C58/4044.7/12*1000</f>
        <v>0.1940811432244666</v>
      </c>
      <c r="E58" s="1"/>
      <c r="F58" s="1"/>
      <c r="G58" s="1"/>
      <c r="H58" s="1"/>
    </row>
    <row r="59" spans="2:8" ht="12.75">
      <c r="B59" s="16" t="s">
        <v>49</v>
      </c>
      <c r="C59" s="8"/>
      <c r="D59" s="8">
        <f>C59/4044.7/12*1000</f>
        <v>0</v>
      </c>
      <c r="E59" s="1"/>
      <c r="F59" s="1"/>
      <c r="G59" s="1"/>
      <c r="H59" s="1"/>
    </row>
    <row r="60" spans="2:8" ht="12.75">
      <c r="B60" s="8" t="s">
        <v>50</v>
      </c>
      <c r="C60" s="8">
        <v>2.76</v>
      </c>
      <c r="D60" s="8">
        <f>C60/4044.7/12*1000</f>
        <v>0.056864538779143076</v>
      </c>
      <c r="E60" s="1"/>
      <c r="F60" s="1"/>
      <c r="G60" s="1"/>
      <c r="H60" s="1"/>
    </row>
    <row r="61" spans="2:8" ht="12.75">
      <c r="B61" s="14" t="s">
        <v>27</v>
      </c>
      <c r="C61" s="14">
        <f>60.34+9.43</f>
        <v>69.77000000000001</v>
      </c>
      <c r="D61" s="14">
        <f>C61/4044.7/12*1000</f>
        <v>1.437477851674208</v>
      </c>
      <c r="E61" s="1"/>
      <c r="F61" s="1"/>
      <c r="G61" s="1"/>
      <c r="H61" s="1"/>
    </row>
    <row r="62" spans="2:8" ht="12.75">
      <c r="B62" s="14"/>
      <c r="C62" s="14"/>
      <c r="D62" s="14"/>
      <c r="E62" s="1"/>
      <c r="F62" s="1"/>
      <c r="G62" s="1"/>
      <c r="H62" s="1"/>
    </row>
    <row r="63" spans="2:8" ht="12.75">
      <c r="B63" s="14" t="s">
        <v>29</v>
      </c>
      <c r="C63" s="14">
        <f>C49+C50+C54+C61+C62</f>
        <v>558.6</v>
      </c>
      <c r="D63" s="14">
        <f>C63/4044.7/12*1000</f>
        <v>11.508888174648307</v>
      </c>
      <c r="E63" s="1"/>
      <c r="F63" s="1"/>
      <c r="G63" s="1"/>
      <c r="H63" s="1"/>
    </row>
    <row r="64" spans="2:8" ht="12.75">
      <c r="B64" s="8" t="s">
        <v>51</v>
      </c>
      <c r="C64" s="8">
        <v>55.86</v>
      </c>
      <c r="D64" s="8">
        <f>C64/4044.7/12*1000</f>
        <v>1.1508888174648304</v>
      </c>
      <c r="E64" s="1"/>
      <c r="F64" s="1"/>
      <c r="G64" s="1"/>
      <c r="H64" s="1"/>
    </row>
    <row r="65" spans="2:8" ht="12.75">
      <c r="B65" s="14" t="s">
        <v>31</v>
      </c>
      <c r="C65" s="23">
        <f>C63+C64</f>
        <v>614.46</v>
      </c>
      <c r="D65" s="23">
        <f>D63+D64</f>
        <v>12.659776992113137</v>
      </c>
      <c r="E65" s="1"/>
      <c r="F65" s="1"/>
      <c r="G65" s="1"/>
      <c r="H65" s="1"/>
    </row>
    <row r="66" spans="2:8" ht="12.75">
      <c r="B66" s="6" t="s">
        <v>34</v>
      </c>
      <c r="C66" s="23">
        <f>C65/C48/12*1000</f>
        <v>12.659776992113137</v>
      </c>
      <c r="D66" s="8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 t="s">
        <v>52</v>
      </c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2" t="s">
        <v>0</v>
      </c>
      <c r="C70" s="2"/>
      <c r="D70" s="2"/>
      <c r="E70" s="1"/>
      <c r="F70" s="1"/>
      <c r="G70" s="1"/>
      <c r="H70" s="1"/>
    </row>
    <row r="71" spans="2:8" ht="12.75">
      <c r="B71" s="2" t="s">
        <v>38</v>
      </c>
      <c r="C71" s="2"/>
      <c r="D71" s="2"/>
      <c r="E71" s="1"/>
      <c r="F71" s="1"/>
      <c r="G71" s="1"/>
      <c r="H71" s="1"/>
    </row>
    <row r="72" spans="2:8" ht="12.75">
      <c r="B72" s="2" t="s">
        <v>53</v>
      </c>
      <c r="C72" s="2"/>
      <c r="D72" s="2"/>
      <c r="E72" s="1"/>
      <c r="F72" s="1"/>
      <c r="G72" s="1"/>
      <c r="H72" s="1"/>
    </row>
    <row r="73" spans="2:8" ht="12.75">
      <c r="B73" s="29"/>
      <c r="C73" s="29"/>
      <c r="D73" s="29"/>
      <c r="E73" s="1"/>
      <c r="F73" s="1"/>
      <c r="G73" s="1"/>
      <c r="H73" s="1"/>
    </row>
    <row r="74" spans="2:8" ht="12.75">
      <c r="B74" s="5" t="s">
        <v>4</v>
      </c>
      <c r="C74" s="31" t="s">
        <v>40</v>
      </c>
      <c r="D74" s="6" t="s">
        <v>41</v>
      </c>
      <c r="E74" s="1"/>
      <c r="F74" s="1"/>
      <c r="G74" s="1"/>
      <c r="H74" s="1"/>
    </row>
    <row r="75" spans="2:8" ht="12.75">
      <c r="B75" s="6"/>
      <c r="C75" s="8"/>
      <c r="D75" s="7"/>
      <c r="E75" s="1"/>
      <c r="F75" s="1"/>
      <c r="G75" s="1"/>
      <c r="H75" s="1"/>
    </row>
    <row r="76" spans="2:8" ht="12.75">
      <c r="B76" s="10" t="s">
        <v>42</v>
      </c>
      <c r="C76" s="8">
        <v>3536.6</v>
      </c>
      <c r="D76" s="7"/>
      <c r="E76" s="1"/>
      <c r="F76" s="1"/>
      <c r="G76" s="1"/>
      <c r="H76" s="1"/>
    </row>
    <row r="77" spans="2:8" ht="12.75">
      <c r="B77" s="10" t="s">
        <v>13</v>
      </c>
      <c r="C77" s="14">
        <v>84.79</v>
      </c>
      <c r="D77" s="14">
        <f>C77/3536.6/12*1000</f>
        <v>1.99791702011348</v>
      </c>
      <c r="E77" s="1"/>
      <c r="F77" s="1"/>
      <c r="G77" s="1"/>
      <c r="H77" s="1"/>
    </row>
    <row r="78" spans="2:8" ht="12.75">
      <c r="B78" s="15" t="s">
        <v>14</v>
      </c>
      <c r="C78" s="14">
        <f>SUM(C79:C82)</f>
        <v>278.53</v>
      </c>
      <c r="D78" s="14">
        <f>SUM(D79:D82)</f>
        <v>6.563036061000208</v>
      </c>
      <c r="E78" s="1"/>
      <c r="F78" s="1"/>
      <c r="G78" s="1"/>
      <c r="H78" s="1"/>
    </row>
    <row r="79" spans="2:8" ht="12.75">
      <c r="B79" s="6" t="s">
        <v>43</v>
      </c>
      <c r="C79" s="8">
        <f>27.59+37.34</f>
        <v>64.93</v>
      </c>
      <c r="D79" s="8">
        <f>C79/3536.6/12*1000</f>
        <v>1.529953439273125</v>
      </c>
      <c r="E79" s="1"/>
      <c r="F79" s="1"/>
      <c r="G79" s="1"/>
      <c r="H79" s="1"/>
    </row>
    <row r="80" spans="2:8" ht="12.75">
      <c r="B80" s="17" t="s">
        <v>44</v>
      </c>
      <c r="C80" s="8">
        <v>31.24</v>
      </c>
      <c r="D80" s="8">
        <f>C80/3536.6/12*1000</f>
        <v>0.7361118965484741</v>
      </c>
      <c r="E80" s="1"/>
      <c r="F80" s="1"/>
      <c r="G80" s="1"/>
      <c r="H80" s="1"/>
    </row>
    <row r="81" spans="2:8" ht="12.75">
      <c r="B81" s="16" t="s">
        <v>54</v>
      </c>
      <c r="C81" s="8">
        <v>24.85</v>
      </c>
      <c r="D81" s="8">
        <f>C81/3536.6/12*1000</f>
        <v>0.5855435540726498</v>
      </c>
      <c r="E81" s="1"/>
      <c r="F81" s="1"/>
      <c r="G81" s="1"/>
      <c r="H81" s="1"/>
    </row>
    <row r="82" spans="2:8" ht="12.75">
      <c r="B82" s="6" t="s">
        <v>16</v>
      </c>
      <c r="C82" s="8">
        <v>157.51</v>
      </c>
      <c r="D82" s="8">
        <f>C82/3536.6/12*1000</f>
        <v>3.7114271711059588</v>
      </c>
      <c r="E82" s="1"/>
      <c r="F82" s="1"/>
      <c r="G82" s="1"/>
      <c r="H82" s="1"/>
    </row>
    <row r="83" spans="2:8" ht="12.75">
      <c r="B83" s="10" t="s">
        <v>19</v>
      </c>
      <c r="C83" s="22">
        <f>SUM(C84:C87)</f>
        <v>145.28</v>
      </c>
      <c r="D83" s="22">
        <f>SUM(D84:D87)</f>
        <v>3.4232502026428397</v>
      </c>
      <c r="E83" s="1"/>
      <c r="F83" s="1"/>
      <c r="G83" s="1"/>
      <c r="H83" s="1"/>
    </row>
    <row r="84" spans="2:8" ht="12.75">
      <c r="B84" s="6" t="s">
        <v>45</v>
      </c>
      <c r="C84" s="8">
        <f>100.35+20.27+10.16</f>
        <v>130.78</v>
      </c>
      <c r="D84" s="8">
        <f>C84/3536.6/12*1000</f>
        <v>3.0815849497634265</v>
      </c>
      <c r="E84" s="1"/>
      <c r="F84" s="1"/>
      <c r="G84" s="1"/>
      <c r="H84" s="1"/>
    </row>
    <row r="85" spans="2:8" ht="12.75">
      <c r="B85" s="20" t="s">
        <v>47</v>
      </c>
      <c r="C85" s="8">
        <v>1.24</v>
      </c>
      <c r="D85" s="8">
        <f>C85/3536.6/12*1000</f>
        <v>0.0292182699014119</v>
      </c>
      <c r="E85" s="1"/>
      <c r="F85" s="1"/>
      <c r="G85" s="1"/>
      <c r="H85" s="1"/>
    </row>
    <row r="86" spans="2:8" ht="12.75">
      <c r="B86" s="8" t="s">
        <v>48</v>
      </c>
      <c r="C86" s="8">
        <v>10.22</v>
      </c>
      <c r="D86" s="8">
        <f>C86/3536.6/12*1000</f>
        <v>0.24081509547776586</v>
      </c>
      <c r="E86" s="1"/>
      <c r="F86" s="1"/>
      <c r="G86" s="1"/>
      <c r="H86" s="1"/>
    </row>
    <row r="87" spans="2:8" ht="12.75">
      <c r="B87" s="8" t="s">
        <v>50</v>
      </c>
      <c r="C87" s="8">
        <v>3.04</v>
      </c>
      <c r="D87" s="8">
        <f>C87/3536.6/12*1000</f>
        <v>0.07163188750023564</v>
      </c>
      <c r="E87" s="1"/>
      <c r="F87" s="1"/>
      <c r="G87" s="1"/>
      <c r="H87" s="1"/>
    </row>
    <row r="88" spans="2:8" ht="12.75">
      <c r="B88" s="14" t="s">
        <v>27</v>
      </c>
      <c r="C88" s="14">
        <f>52.76+9.64</f>
        <v>62.4</v>
      </c>
      <c r="D88" s="14">
        <f>C88/3536.6/12*1000</f>
        <v>1.4703387434258892</v>
      </c>
      <c r="E88" s="1"/>
      <c r="F88" s="1"/>
      <c r="G88" s="1"/>
      <c r="H88" s="1"/>
    </row>
    <row r="89" spans="2:8" ht="12.75">
      <c r="B89" s="14"/>
      <c r="C89" s="14"/>
      <c r="D89" s="14"/>
      <c r="E89" s="1"/>
      <c r="F89" s="1"/>
      <c r="G89" s="1"/>
      <c r="H89" s="1"/>
    </row>
    <row r="90" spans="2:8" ht="12.75">
      <c r="B90" s="14" t="s">
        <v>29</v>
      </c>
      <c r="C90" s="14">
        <f>C77+C78+C83+C88+C89</f>
        <v>571</v>
      </c>
      <c r="D90" s="14">
        <f>D77+D78+D83+D88+D89</f>
        <v>13.454542027182418</v>
      </c>
      <c r="E90" s="1"/>
      <c r="F90" s="1"/>
      <c r="G90" s="1"/>
      <c r="H90" s="1"/>
    </row>
    <row r="91" spans="2:8" ht="12.75">
      <c r="B91" s="8" t="s">
        <v>51</v>
      </c>
      <c r="C91" s="8">
        <v>57.1</v>
      </c>
      <c r="D91" s="8">
        <f>C91/3536.6/12*1000</f>
        <v>1.3454542027182417</v>
      </c>
      <c r="E91" s="1"/>
      <c r="F91" s="1"/>
      <c r="G91" s="1"/>
      <c r="H91" s="1"/>
    </row>
    <row r="92" spans="2:8" ht="12.75">
      <c r="B92" s="14" t="s">
        <v>31</v>
      </c>
      <c r="C92" s="23">
        <f>C90+C91</f>
        <v>628.1</v>
      </c>
      <c r="D92" s="23">
        <f>D90+D91</f>
        <v>14.79999622990066</v>
      </c>
      <c r="E92" s="1"/>
      <c r="F92" s="1"/>
      <c r="G92" s="1"/>
      <c r="H92" s="1"/>
    </row>
    <row r="93" spans="2:8" ht="12.75">
      <c r="B93" s="6" t="s">
        <v>34</v>
      </c>
      <c r="C93" s="23">
        <f>C92/C76/12*1000</f>
        <v>14.799996229900659</v>
      </c>
      <c r="D93" s="8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 t="s">
        <v>52</v>
      </c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2" t="s">
        <v>0</v>
      </c>
      <c r="C97" s="2"/>
      <c r="D97" s="2"/>
      <c r="E97" s="1"/>
      <c r="F97" s="1"/>
      <c r="G97" s="1"/>
      <c r="H97" s="1"/>
    </row>
    <row r="98" spans="2:8" ht="12.75">
      <c r="B98" s="2" t="s">
        <v>38</v>
      </c>
      <c r="C98" s="2"/>
      <c r="D98" s="2"/>
      <c r="E98" s="1"/>
      <c r="F98" s="1"/>
      <c r="G98" s="1"/>
      <c r="H98" s="1"/>
    </row>
    <row r="99" spans="2:8" ht="12.75">
      <c r="B99" s="2" t="s">
        <v>55</v>
      </c>
      <c r="C99" s="2"/>
      <c r="D99" s="2"/>
      <c r="E99" s="1"/>
      <c r="F99" s="1"/>
      <c r="G99" s="1"/>
      <c r="H99" s="1"/>
    </row>
    <row r="100" spans="2:8" ht="12.75">
      <c r="B100" s="3"/>
      <c r="C100" s="3"/>
      <c r="D100" s="1"/>
      <c r="E100" s="1"/>
      <c r="F100" s="1"/>
      <c r="G100" s="1"/>
      <c r="H100" s="1"/>
    </row>
    <row r="101" spans="2:8" ht="12.75">
      <c r="B101" s="5" t="s">
        <v>4</v>
      </c>
      <c r="C101" s="31" t="s">
        <v>40</v>
      </c>
      <c r="D101" s="6" t="s">
        <v>41</v>
      </c>
      <c r="E101" s="1"/>
      <c r="F101" s="1"/>
      <c r="G101" s="1"/>
      <c r="H101" s="1"/>
    </row>
    <row r="102" spans="2:8" ht="12.75">
      <c r="B102" s="6"/>
      <c r="C102" s="6"/>
      <c r="D102" s="7"/>
      <c r="E102" s="1"/>
      <c r="F102" s="1"/>
      <c r="G102" s="1"/>
      <c r="H102" s="1"/>
    </row>
    <row r="103" spans="2:8" ht="12.75">
      <c r="B103" s="10" t="s">
        <v>42</v>
      </c>
      <c r="C103" s="8">
        <v>366.1</v>
      </c>
      <c r="D103" s="8"/>
      <c r="E103" s="1"/>
      <c r="F103" s="1"/>
      <c r="G103" s="1"/>
      <c r="H103" s="1"/>
    </row>
    <row r="104" spans="2:8" ht="12.75">
      <c r="B104" s="11" t="s">
        <v>13</v>
      </c>
      <c r="C104" s="30">
        <v>7.51</v>
      </c>
      <c r="D104" s="8">
        <f>C104/366.1/12*1000</f>
        <v>1.7094600746608395</v>
      </c>
      <c r="E104" s="1"/>
      <c r="F104" s="1"/>
      <c r="G104" s="1"/>
      <c r="H104" s="1"/>
    </row>
    <row r="105" spans="2:8" ht="12.75">
      <c r="B105" s="15" t="s">
        <v>14</v>
      </c>
      <c r="C105" s="14">
        <f>SUM(C106:C108)</f>
        <v>21.560000000000002</v>
      </c>
      <c r="D105" s="14">
        <f>SUM(D106:D108)</f>
        <v>4.907584448693435</v>
      </c>
      <c r="E105" s="1"/>
      <c r="F105" s="1"/>
      <c r="G105" s="1"/>
      <c r="H105" s="1"/>
    </row>
    <row r="106" spans="2:8" ht="12.75">
      <c r="B106" s="6" t="s">
        <v>43</v>
      </c>
      <c r="C106" s="8">
        <f>2.86+3.87</f>
        <v>6.73</v>
      </c>
      <c r="D106" s="8">
        <f>C106/366.1/12*1000</f>
        <v>1.5319129563871439</v>
      </c>
      <c r="E106" s="1"/>
      <c r="F106" s="1"/>
      <c r="G106" s="1"/>
      <c r="H106" s="1"/>
    </row>
    <row r="107" spans="2:8" ht="12.75">
      <c r="B107" s="17" t="s">
        <v>44</v>
      </c>
      <c r="C107" s="8">
        <v>3.23</v>
      </c>
      <c r="D107" s="8">
        <f>C107/366.1/12*1000</f>
        <v>0.7352271692615859</v>
      </c>
      <c r="E107" s="1"/>
      <c r="F107" s="1"/>
      <c r="G107" s="1"/>
      <c r="H107" s="1"/>
    </row>
    <row r="108" spans="2:8" ht="12.75">
      <c r="B108" s="6" t="s">
        <v>16</v>
      </c>
      <c r="C108" s="8">
        <v>11.6</v>
      </c>
      <c r="D108" s="8">
        <f>C108/366.1/12*1000</f>
        <v>2.6404443230447057</v>
      </c>
      <c r="E108" s="1"/>
      <c r="F108" s="1"/>
      <c r="G108" s="1"/>
      <c r="H108" s="1"/>
    </row>
    <row r="109" spans="2:8" ht="12.75">
      <c r="B109" s="10" t="s">
        <v>19</v>
      </c>
      <c r="C109" s="22">
        <f>SUM(C110:C113)</f>
        <v>15.170000000000002</v>
      </c>
      <c r="D109" s="22">
        <f>SUM(D110:D113)</f>
        <v>3.453063825912775</v>
      </c>
      <c r="E109" s="1"/>
      <c r="F109" s="1"/>
      <c r="G109" s="1"/>
      <c r="H109" s="1"/>
    </row>
    <row r="110" spans="2:8" ht="12.75">
      <c r="B110" s="6" t="s">
        <v>45</v>
      </c>
      <c r="C110" s="8">
        <f>10.5+2.12+1.06</f>
        <v>13.680000000000001</v>
      </c>
      <c r="D110" s="8">
        <f>C110/366.1/12*1000</f>
        <v>3.1139033051078946</v>
      </c>
      <c r="E110" s="1"/>
      <c r="F110" s="1"/>
      <c r="G110" s="1"/>
      <c r="H110" s="1"/>
    </row>
    <row r="111" spans="2:8" ht="12.75">
      <c r="B111" s="6" t="s">
        <v>46</v>
      </c>
      <c r="C111" s="8"/>
      <c r="D111" s="8">
        <f>C111/366.1/12*1000</f>
        <v>0</v>
      </c>
      <c r="E111" s="1"/>
      <c r="F111" s="1"/>
      <c r="G111" s="1"/>
      <c r="H111" s="1"/>
    </row>
    <row r="112" spans="2:8" ht="12.75">
      <c r="B112" s="8" t="s">
        <v>48</v>
      </c>
      <c r="C112" s="8">
        <v>1.06</v>
      </c>
      <c r="D112" s="8">
        <f>C112/366.1/12*1000</f>
        <v>0.2412819812437403</v>
      </c>
      <c r="E112" s="1"/>
      <c r="F112" s="1"/>
      <c r="G112" s="1"/>
      <c r="H112" s="1"/>
    </row>
    <row r="113" spans="2:8" ht="12.75">
      <c r="B113" s="8" t="s">
        <v>50</v>
      </c>
      <c r="C113" s="8">
        <v>0.43</v>
      </c>
      <c r="D113" s="8">
        <f>C113/366.1/12*1000</f>
        <v>0.09787853956113994</v>
      </c>
      <c r="E113" s="1"/>
      <c r="F113" s="1"/>
      <c r="G113" s="1"/>
      <c r="H113" s="1"/>
    </row>
    <row r="114" spans="2:8" ht="12.75">
      <c r="B114" s="14" t="s">
        <v>27</v>
      </c>
      <c r="C114" s="14">
        <f>5.46+0.85</f>
        <v>6.31</v>
      </c>
      <c r="D114" s="14">
        <f>C114/366.1/12*1000</f>
        <v>1.4363106619320765</v>
      </c>
      <c r="E114" s="1"/>
      <c r="F114" s="1"/>
      <c r="G114" s="1"/>
      <c r="H114" s="1"/>
    </row>
    <row r="115" spans="2:8" ht="12.75">
      <c r="B115" s="14"/>
      <c r="C115" s="14"/>
      <c r="D115" s="8"/>
      <c r="E115" s="1"/>
      <c r="F115" s="1"/>
      <c r="G115" s="1"/>
      <c r="H115" s="1"/>
    </row>
    <row r="116" spans="2:8" ht="12.75">
      <c r="B116" s="14" t="s">
        <v>29</v>
      </c>
      <c r="C116" s="14">
        <f>C104+C105+C109+C114+C115</f>
        <v>50.550000000000004</v>
      </c>
      <c r="D116" s="14">
        <f>D104+D105+D109+D114+D115</f>
        <v>11.506419011199124</v>
      </c>
      <c r="E116" s="1"/>
      <c r="F116" s="1"/>
      <c r="G116" s="1"/>
      <c r="H116" s="1"/>
    </row>
    <row r="117" spans="2:8" ht="12.75">
      <c r="B117" s="8" t="s">
        <v>51</v>
      </c>
      <c r="C117" s="8">
        <v>5.06</v>
      </c>
      <c r="D117" s="8">
        <f>C117/366.1/12*1000</f>
        <v>1.151780023672949</v>
      </c>
      <c r="E117" s="1"/>
      <c r="F117" s="1"/>
      <c r="G117" s="1"/>
      <c r="H117" s="1"/>
    </row>
    <row r="118" spans="2:8" ht="12.75">
      <c r="B118" s="14" t="s">
        <v>31</v>
      </c>
      <c r="C118" s="23">
        <f>C116+C117</f>
        <v>55.61000000000001</v>
      </c>
      <c r="D118" s="23">
        <f>D116+D117</f>
        <v>12.658199034872073</v>
      </c>
      <c r="E118" s="1"/>
      <c r="F118" s="1"/>
      <c r="G118" s="1"/>
      <c r="H118" s="1"/>
    </row>
    <row r="119" spans="2:8" ht="12.75">
      <c r="B119" s="6" t="s">
        <v>34</v>
      </c>
      <c r="C119" s="23">
        <f>C118/C103/12*1000</f>
        <v>12.658199034872075</v>
      </c>
      <c r="D119" s="8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 t="s">
        <v>52</v>
      </c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2" t="s">
        <v>0</v>
      </c>
      <c r="C123" s="2"/>
      <c r="D123" s="2"/>
      <c r="E123" s="1"/>
      <c r="F123" s="1"/>
      <c r="G123" s="1"/>
      <c r="H123" s="1"/>
    </row>
    <row r="124" spans="2:8" ht="12.75">
      <c r="B124" s="2" t="s">
        <v>38</v>
      </c>
      <c r="C124" s="2"/>
      <c r="D124" s="2"/>
      <c r="E124" s="1"/>
      <c r="F124" s="1"/>
      <c r="G124" s="1"/>
      <c r="H124" s="1"/>
    </row>
    <row r="125" spans="2:8" ht="12.75">
      <c r="B125" s="2" t="s">
        <v>56</v>
      </c>
      <c r="C125" s="2"/>
      <c r="D125" s="2"/>
      <c r="E125" s="1"/>
      <c r="F125" s="1"/>
      <c r="G125" s="1"/>
      <c r="H125" s="1"/>
    </row>
    <row r="126" spans="2:8" ht="12.75">
      <c r="B126" s="3"/>
      <c r="C126" s="3"/>
      <c r="D126" s="1"/>
      <c r="E126" s="1"/>
      <c r="F126" s="1"/>
      <c r="G126" s="1"/>
      <c r="H126" s="1"/>
    </row>
    <row r="127" spans="2:8" ht="12.75">
      <c r="B127" s="5" t="s">
        <v>4</v>
      </c>
      <c r="C127" s="31" t="s">
        <v>40</v>
      </c>
      <c r="D127" s="6" t="s">
        <v>41</v>
      </c>
      <c r="E127" s="1"/>
      <c r="F127" s="1"/>
      <c r="G127" s="1"/>
      <c r="H127" s="1"/>
    </row>
    <row r="128" spans="2:8" ht="12.75">
      <c r="B128" s="6"/>
      <c r="C128" s="6"/>
      <c r="D128" s="7"/>
      <c r="E128" s="1"/>
      <c r="F128" s="1"/>
      <c r="G128" s="1"/>
      <c r="H128" s="1"/>
    </row>
    <row r="129" spans="2:8" ht="12.75">
      <c r="B129" s="10" t="s">
        <v>42</v>
      </c>
      <c r="C129" s="8">
        <v>374.7</v>
      </c>
      <c r="D129" s="8"/>
      <c r="E129" s="1"/>
      <c r="F129" s="1"/>
      <c r="G129" s="1"/>
      <c r="H129" s="1"/>
    </row>
    <row r="130" spans="2:8" ht="12.75">
      <c r="B130" s="11" t="s">
        <v>13</v>
      </c>
      <c r="C130" s="30">
        <v>7.68</v>
      </c>
      <c r="D130" s="8">
        <f>C130/374.7/12*1000</f>
        <v>1.7080330931411798</v>
      </c>
      <c r="E130" s="1"/>
      <c r="F130" s="1"/>
      <c r="G130" s="1"/>
      <c r="H130" s="1"/>
    </row>
    <row r="131" spans="2:8" ht="12.75">
      <c r="B131" s="15" t="s">
        <v>14</v>
      </c>
      <c r="C131" s="14">
        <f>SUM(C132:C134)</f>
        <v>9.05</v>
      </c>
      <c r="D131" s="14">
        <f>SUM(D132:D134)</f>
        <v>2.0127212881416243</v>
      </c>
      <c r="E131" s="1"/>
      <c r="F131" s="1"/>
      <c r="G131" s="1"/>
      <c r="H131" s="1"/>
    </row>
    <row r="132" spans="2:8" ht="12.75">
      <c r="B132" s="6" t="s">
        <v>43</v>
      </c>
      <c r="C132" s="8">
        <f>2.92+3.96</f>
        <v>6.88</v>
      </c>
      <c r="D132" s="8">
        <f>C132/374.7/12*1000</f>
        <v>1.5301129792723067</v>
      </c>
      <c r="E132" s="1"/>
      <c r="F132" s="1"/>
      <c r="G132" s="1"/>
      <c r="H132" s="1"/>
    </row>
    <row r="133" spans="2:8" ht="12.75">
      <c r="B133" s="17" t="s">
        <v>44</v>
      </c>
      <c r="C133" s="8">
        <v>3.31</v>
      </c>
      <c r="D133" s="8">
        <f>C133/374.7/12*1000</f>
        <v>0.7361444711324615</v>
      </c>
      <c r="E133" s="1"/>
      <c r="F133" s="1"/>
      <c r="G133" s="1"/>
      <c r="H133" s="1"/>
    </row>
    <row r="134" spans="2:8" ht="12.75">
      <c r="B134" s="6" t="s">
        <v>16</v>
      </c>
      <c r="C134" s="8">
        <v>-1.1400000000000001</v>
      </c>
      <c r="D134" s="8">
        <f>C134/374.7/12*1000</f>
        <v>-0.2535361622631439</v>
      </c>
      <c r="E134" s="1"/>
      <c r="F134" s="1"/>
      <c r="G134" s="1"/>
      <c r="H134" s="1"/>
    </row>
    <row r="135" spans="2:8" ht="12.75">
      <c r="B135" s="10" t="s">
        <v>19</v>
      </c>
      <c r="C135" s="22">
        <f>SUM(C136:C140)</f>
        <v>28.560000000000002</v>
      </c>
      <c r="D135" s="22">
        <f>SUM(D136:D140)</f>
        <v>6.351748065118762</v>
      </c>
      <c r="E135" s="1"/>
      <c r="F135" s="1"/>
      <c r="G135" s="1"/>
      <c r="H135" s="1"/>
    </row>
    <row r="136" spans="2:8" ht="12.75">
      <c r="B136" s="6" t="s">
        <v>45</v>
      </c>
      <c r="C136" s="8">
        <f>20.93+4.23+2.12</f>
        <v>27.28</v>
      </c>
      <c r="D136" s="8">
        <f>C136/374.7/12*1000</f>
        <v>6.067075882928565</v>
      </c>
      <c r="E136" s="1"/>
      <c r="F136" s="1"/>
      <c r="G136" s="1"/>
      <c r="H136" s="1"/>
    </row>
    <row r="137" spans="2:8" ht="12.75">
      <c r="B137" s="6" t="s">
        <v>46</v>
      </c>
      <c r="C137" s="8"/>
      <c r="D137" s="8">
        <f>C137/374.7/12*1000</f>
        <v>0</v>
      </c>
      <c r="E137" s="1"/>
      <c r="F137" s="1"/>
      <c r="G137" s="1"/>
      <c r="H137" s="1"/>
    </row>
    <row r="138" spans="2:8" ht="12.75">
      <c r="B138" s="20" t="s">
        <v>47</v>
      </c>
      <c r="C138" s="8"/>
      <c r="D138" s="8">
        <f>C138/374.7/12*1000</f>
        <v>0</v>
      </c>
      <c r="E138" s="1"/>
      <c r="F138" s="1"/>
      <c r="G138" s="1"/>
      <c r="H138" s="1"/>
    </row>
    <row r="139" spans="2:8" ht="12.75">
      <c r="B139" s="8" t="s">
        <v>48</v>
      </c>
      <c r="C139" s="8">
        <v>1.06</v>
      </c>
      <c r="D139" s="8">
        <f>C139/374.7/12*1000</f>
        <v>0.23574415087625658</v>
      </c>
      <c r="E139" s="1"/>
      <c r="F139" s="1"/>
      <c r="G139" s="1"/>
      <c r="H139" s="1"/>
    </row>
    <row r="140" spans="2:8" ht="12.75">
      <c r="B140" s="8" t="s">
        <v>50</v>
      </c>
      <c r="C140" s="8">
        <v>0.22</v>
      </c>
      <c r="D140" s="8">
        <f>C140/374.7/12*1000</f>
        <v>0.048928031313940044</v>
      </c>
      <c r="E140" s="1"/>
      <c r="F140" s="1"/>
      <c r="G140" s="1"/>
      <c r="H140" s="1"/>
    </row>
    <row r="141" spans="2:8" ht="12.75">
      <c r="B141" s="14" t="s">
        <v>27</v>
      </c>
      <c r="C141" s="14">
        <f>5.59+0.87</f>
        <v>6.46</v>
      </c>
      <c r="D141" s="14">
        <f>C141/374.7/12*1000</f>
        <v>1.4367049194911485</v>
      </c>
      <c r="E141" s="1"/>
      <c r="F141" s="1"/>
      <c r="G141" s="1"/>
      <c r="H141" s="1"/>
    </row>
    <row r="142" spans="2:8" ht="12.75">
      <c r="B142" s="14"/>
      <c r="C142" s="14"/>
      <c r="D142" s="8"/>
      <c r="E142" s="1"/>
      <c r="F142" s="1"/>
      <c r="G142" s="1"/>
      <c r="H142" s="1"/>
    </row>
    <row r="143" spans="2:8" ht="12.75">
      <c r="B143" s="14" t="s">
        <v>29</v>
      </c>
      <c r="C143" s="14">
        <f>C130+C131+C135+C141+C142</f>
        <v>51.75000000000001</v>
      </c>
      <c r="D143" s="14">
        <f>D130+D131+D135+D141+D142</f>
        <v>11.509207365892713</v>
      </c>
      <c r="E143" s="1"/>
      <c r="F143" s="1"/>
      <c r="G143" s="1"/>
      <c r="H143" s="1"/>
    </row>
    <row r="144" spans="2:8" ht="12.75">
      <c r="B144" s="8" t="s">
        <v>51</v>
      </c>
      <c r="C144" s="8">
        <v>5.17</v>
      </c>
      <c r="D144" s="8">
        <f>C144/374.7/12*1000</f>
        <v>1.1498087358775908</v>
      </c>
      <c r="E144" s="1"/>
      <c r="F144" s="1"/>
      <c r="G144" s="1"/>
      <c r="H144" s="1"/>
    </row>
    <row r="145" spans="2:8" ht="12.75">
      <c r="B145" s="14" t="s">
        <v>31</v>
      </c>
      <c r="C145" s="23">
        <f>C143+C144</f>
        <v>56.92000000000001</v>
      </c>
      <c r="D145" s="23">
        <f>D143+D144</f>
        <v>12.659016101770304</v>
      </c>
      <c r="E145" s="1"/>
      <c r="F145" s="1"/>
      <c r="G145" s="1"/>
      <c r="H145" s="1"/>
    </row>
    <row r="146" spans="2:8" ht="12.75">
      <c r="B146" s="6" t="s">
        <v>34</v>
      </c>
      <c r="C146" s="23">
        <f>C145/C129/12*1000</f>
        <v>12.659016101770307</v>
      </c>
      <c r="D146" s="8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 t="s">
        <v>52</v>
      </c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2" t="s">
        <v>0</v>
      </c>
      <c r="C150" s="2"/>
      <c r="D150" s="2"/>
      <c r="E150" s="1"/>
      <c r="F150" s="1"/>
      <c r="G150" s="1"/>
      <c r="H150" s="1"/>
    </row>
    <row r="151" spans="2:8" ht="12.75">
      <c r="B151" s="2" t="s">
        <v>38</v>
      </c>
      <c r="C151" s="2"/>
      <c r="D151" s="2"/>
      <c r="E151" s="1"/>
      <c r="F151" s="1"/>
      <c r="G151" s="1"/>
      <c r="H151" s="1"/>
    </row>
    <row r="152" spans="2:8" ht="12.75">
      <c r="B152" s="2" t="s">
        <v>57</v>
      </c>
      <c r="C152" s="2"/>
      <c r="D152" s="2"/>
      <c r="E152" s="1"/>
      <c r="F152" s="1"/>
      <c r="G152" s="1"/>
      <c r="H152" s="1"/>
    </row>
    <row r="153" spans="2:8" ht="12.75">
      <c r="B153" s="3"/>
      <c r="C153" s="3"/>
      <c r="D153" s="1"/>
      <c r="E153" s="1"/>
      <c r="F153" s="1"/>
      <c r="G153" s="1"/>
      <c r="H153" s="1"/>
    </row>
    <row r="154" spans="2:8" ht="12.75">
      <c r="B154" s="5" t="s">
        <v>4</v>
      </c>
      <c r="C154" s="31" t="s">
        <v>40</v>
      </c>
      <c r="D154" s="6" t="s">
        <v>41</v>
      </c>
      <c r="E154" s="1"/>
      <c r="F154" s="1"/>
      <c r="G154" s="1"/>
      <c r="H154" s="1"/>
    </row>
    <row r="155" spans="2:8" ht="12.75">
      <c r="B155" s="6"/>
      <c r="C155" s="6"/>
      <c r="D155" s="7"/>
      <c r="E155" s="1"/>
      <c r="F155" s="1"/>
      <c r="G155" s="1"/>
      <c r="H155" s="1"/>
    </row>
    <row r="156" spans="2:8" ht="12.75">
      <c r="B156" s="10" t="s">
        <v>42</v>
      </c>
      <c r="C156" s="8">
        <v>2822.7</v>
      </c>
      <c r="D156" s="8"/>
      <c r="E156" s="1"/>
      <c r="F156" s="1"/>
      <c r="G156" s="1"/>
      <c r="H156" s="1"/>
    </row>
    <row r="157" spans="2:8" ht="12.75">
      <c r="B157" s="11" t="s">
        <v>13</v>
      </c>
      <c r="C157" s="30">
        <v>57.89</v>
      </c>
      <c r="D157" s="8">
        <f>C157/2822.7/12*1000</f>
        <v>1.7090610644654647</v>
      </c>
      <c r="E157" s="1"/>
      <c r="F157" s="1"/>
      <c r="G157" s="1"/>
      <c r="H157" s="1"/>
    </row>
    <row r="158" spans="2:8" ht="12.75">
      <c r="B158" s="15" t="s">
        <v>14</v>
      </c>
      <c r="C158" s="14">
        <f>SUM(C159:C161)</f>
        <v>166.58999999999997</v>
      </c>
      <c r="D158" s="14">
        <f>SUM(D159:D161)</f>
        <v>4.918163460516526</v>
      </c>
      <c r="E158" s="1"/>
      <c r="F158" s="1"/>
      <c r="G158" s="1"/>
      <c r="H158" s="1"/>
    </row>
    <row r="159" spans="2:8" ht="12.75">
      <c r="B159" s="6" t="s">
        <v>43</v>
      </c>
      <c r="C159" s="8">
        <f>22.02+29.81</f>
        <v>51.83</v>
      </c>
      <c r="D159" s="8">
        <f>C159/2822.7/12*1000</f>
        <v>1.5301543439496463</v>
      </c>
      <c r="E159" s="1"/>
      <c r="F159" s="1"/>
      <c r="G159" s="1"/>
      <c r="H159" s="1"/>
    </row>
    <row r="160" spans="2:8" ht="12.75">
      <c r="B160" s="17" t="s">
        <v>44</v>
      </c>
      <c r="C160" s="8">
        <v>24.94</v>
      </c>
      <c r="D160" s="8">
        <f>C160/2822.7/12*1000</f>
        <v>0.7362926748621297</v>
      </c>
      <c r="E160" s="1"/>
      <c r="F160" s="1"/>
      <c r="G160" s="1"/>
      <c r="H160" s="1"/>
    </row>
    <row r="161" spans="2:8" ht="12.75">
      <c r="B161" s="6" t="s">
        <v>16</v>
      </c>
      <c r="C161" s="8">
        <v>89.82</v>
      </c>
      <c r="D161" s="8">
        <f>C161/2822.7/12*1000</f>
        <v>2.6517164417047505</v>
      </c>
      <c r="E161" s="1"/>
      <c r="F161" s="1"/>
      <c r="G161" s="1"/>
      <c r="H161" s="1"/>
    </row>
    <row r="162" spans="2:8" ht="12.75">
      <c r="B162" s="10" t="s">
        <v>19</v>
      </c>
      <c r="C162" s="22">
        <f>SUM(C163:C167)</f>
        <v>116.67999999999999</v>
      </c>
      <c r="D162" s="22">
        <f>SUM(D163:D167)</f>
        <v>3.444692433958031</v>
      </c>
      <c r="E162" s="1"/>
      <c r="F162" s="1"/>
      <c r="G162" s="1"/>
      <c r="H162" s="1"/>
    </row>
    <row r="163" spans="2:8" ht="12.75">
      <c r="B163" s="6" t="s">
        <v>45</v>
      </c>
      <c r="C163" s="8">
        <f>79.35+16.03+8.03</f>
        <v>103.41</v>
      </c>
      <c r="D163" s="8">
        <f>C163/2822.7/12*1000</f>
        <v>3.052928047613987</v>
      </c>
      <c r="E163" s="1"/>
      <c r="F163" s="1"/>
      <c r="G163" s="1"/>
      <c r="H163" s="1"/>
    </row>
    <row r="164" spans="2:8" ht="12.75">
      <c r="B164" s="20" t="s">
        <v>47</v>
      </c>
      <c r="C164" s="8">
        <v>0.93</v>
      </c>
      <c r="D164" s="8">
        <f>C164/2822.7/12*1000</f>
        <v>0.027455981861338435</v>
      </c>
      <c r="E164" s="1"/>
      <c r="F164" s="1"/>
      <c r="G164" s="1"/>
      <c r="H164" s="1"/>
    </row>
    <row r="165" spans="2:8" ht="12.75">
      <c r="B165" s="8" t="s">
        <v>48</v>
      </c>
      <c r="C165" s="8">
        <v>10.62</v>
      </c>
      <c r="D165" s="8">
        <f>C165/2822.7/12*1000</f>
        <v>0.31352959931980023</v>
      </c>
      <c r="E165" s="1"/>
      <c r="F165" s="1"/>
      <c r="G165" s="1"/>
      <c r="H165" s="1"/>
    </row>
    <row r="166" spans="2:8" ht="12.75">
      <c r="B166" s="8" t="s">
        <v>49</v>
      </c>
      <c r="C166" s="8"/>
      <c r="D166" s="8">
        <f>C166/2822.7/12*1000</f>
        <v>0</v>
      </c>
      <c r="E166" s="1"/>
      <c r="F166" s="1"/>
      <c r="G166" s="1"/>
      <c r="H166" s="1"/>
    </row>
    <row r="167" spans="2:8" ht="12.75">
      <c r="B167" s="8" t="s">
        <v>50</v>
      </c>
      <c r="C167" s="8">
        <v>1.72</v>
      </c>
      <c r="D167" s="8">
        <f>C167/2822.7/12*1000</f>
        <v>0.0507788051629055</v>
      </c>
      <c r="E167" s="1"/>
      <c r="F167" s="1"/>
      <c r="G167" s="1"/>
      <c r="H167" s="1"/>
    </row>
    <row r="168" spans="2:8" ht="12.75">
      <c r="B168" s="14" t="s">
        <v>27</v>
      </c>
      <c r="C168" s="14">
        <f>42.11+6.58</f>
        <v>48.69</v>
      </c>
      <c r="D168" s="14">
        <f>C168/2822.7/12*1000</f>
        <v>1.4374535019662027</v>
      </c>
      <c r="E168" s="1"/>
      <c r="F168" s="1"/>
      <c r="G168" s="1"/>
      <c r="H168" s="1"/>
    </row>
    <row r="169" spans="2:8" ht="12.75">
      <c r="B169" s="14"/>
      <c r="C169" s="14"/>
      <c r="D169" s="8"/>
      <c r="E169" s="1"/>
      <c r="F169" s="1"/>
      <c r="G169" s="1"/>
      <c r="H169" s="1"/>
    </row>
    <row r="170" spans="2:8" ht="12.75">
      <c r="B170" s="14" t="s">
        <v>29</v>
      </c>
      <c r="C170" s="14">
        <f>C157+C158+C162+C168+C169</f>
        <v>389.84999999999997</v>
      </c>
      <c r="D170" s="14">
        <f>D157+D158+D162+D168+D169</f>
        <v>11.509370460906226</v>
      </c>
      <c r="E170" s="1"/>
      <c r="F170" s="1"/>
      <c r="G170" s="1"/>
      <c r="H170" s="1"/>
    </row>
    <row r="171" spans="2:8" ht="12.75">
      <c r="B171" s="8" t="s">
        <v>51</v>
      </c>
      <c r="C171" s="8">
        <v>38.98</v>
      </c>
      <c r="D171" s="8">
        <f>C171/2822.7/12*1000</f>
        <v>1.1507894332849165</v>
      </c>
      <c r="E171" s="1"/>
      <c r="F171" s="1"/>
      <c r="G171" s="1"/>
      <c r="H171" s="1"/>
    </row>
    <row r="172" spans="2:8" ht="12.75">
      <c r="B172" s="14" t="s">
        <v>31</v>
      </c>
      <c r="C172" s="23">
        <f>C170+C171</f>
        <v>428.83</v>
      </c>
      <c r="D172" s="23">
        <f>D170+D171</f>
        <v>12.660159894191143</v>
      </c>
      <c r="E172" s="1"/>
      <c r="F172" s="1"/>
      <c r="G172" s="1"/>
      <c r="H172" s="1"/>
    </row>
    <row r="173" spans="2:8" ht="12.75">
      <c r="B173" s="6" t="s">
        <v>34</v>
      </c>
      <c r="C173" s="23">
        <f>C172/C156/12*1000</f>
        <v>12.660159894191143</v>
      </c>
      <c r="D173" s="8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 t="s">
        <v>52</v>
      </c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2" t="s">
        <v>0</v>
      </c>
      <c r="C177" s="2"/>
      <c r="D177" s="2"/>
      <c r="E177" s="1"/>
      <c r="F177" s="1"/>
      <c r="G177" s="1"/>
      <c r="H177" s="1"/>
    </row>
    <row r="178" spans="2:8" ht="12.75">
      <c r="B178" s="2" t="s">
        <v>38</v>
      </c>
      <c r="C178" s="2"/>
      <c r="D178" s="2"/>
      <c r="E178" s="1"/>
      <c r="F178" s="1"/>
      <c r="G178" s="1"/>
      <c r="H178" s="1"/>
    </row>
    <row r="179" spans="2:8" ht="12.75">
      <c r="B179" s="2" t="s">
        <v>58</v>
      </c>
      <c r="C179" s="2"/>
      <c r="D179" s="2"/>
      <c r="E179" s="1"/>
      <c r="F179" s="1"/>
      <c r="G179" s="1"/>
      <c r="H179" s="1"/>
    </row>
    <row r="180" spans="2:8" ht="12.75">
      <c r="B180" s="3"/>
      <c r="C180" s="3"/>
      <c r="D180" s="1"/>
      <c r="E180" s="1"/>
      <c r="F180" s="1"/>
      <c r="G180" s="1"/>
      <c r="H180" s="1"/>
    </row>
    <row r="181" spans="2:8" ht="12.75">
      <c r="B181" s="5" t="s">
        <v>4</v>
      </c>
      <c r="C181" s="31" t="s">
        <v>40</v>
      </c>
      <c r="D181" s="6" t="s">
        <v>41</v>
      </c>
      <c r="E181" s="1"/>
      <c r="F181" s="1"/>
      <c r="G181" s="1"/>
      <c r="H181" s="1"/>
    </row>
    <row r="182" spans="2:8" ht="12.75">
      <c r="B182" s="6"/>
      <c r="C182" s="6"/>
      <c r="D182" s="7"/>
      <c r="E182" s="1"/>
      <c r="F182" s="1"/>
      <c r="G182" s="1"/>
      <c r="H182" s="1"/>
    </row>
    <row r="183" spans="2:8" ht="12.75">
      <c r="B183" s="10" t="s">
        <v>42</v>
      </c>
      <c r="C183" s="8">
        <v>3323.3</v>
      </c>
      <c r="D183" s="8"/>
      <c r="E183" s="1"/>
      <c r="F183" s="1"/>
      <c r="G183" s="1"/>
      <c r="H183" s="1"/>
    </row>
    <row r="184" spans="2:8" ht="12.75">
      <c r="B184" s="11" t="s">
        <v>13</v>
      </c>
      <c r="C184" s="32">
        <v>65.97</v>
      </c>
      <c r="D184" s="14">
        <f>C184/3323.3/12*1000</f>
        <v>1.6542292299822463</v>
      </c>
      <c r="E184" s="1"/>
      <c r="F184" s="1"/>
      <c r="G184" s="1"/>
      <c r="H184" s="1"/>
    </row>
    <row r="185" spans="2:8" ht="12.75">
      <c r="B185" s="15" t="s">
        <v>14</v>
      </c>
      <c r="C185" s="14">
        <f>SUM(C186:C188)</f>
        <v>232.37</v>
      </c>
      <c r="D185" s="14">
        <f>SUM(D186:D188)</f>
        <v>5.8267886337877</v>
      </c>
      <c r="E185" s="1"/>
      <c r="F185" s="1"/>
      <c r="G185" s="1"/>
      <c r="H185" s="1"/>
    </row>
    <row r="186" spans="2:8" ht="12.75">
      <c r="B186" s="6" t="s">
        <v>59</v>
      </c>
      <c r="C186" s="8">
        <v>61.01</v>
      </c>
      <c r="D186" s="8">
        <f>C186/3323.3/12*1000</f>
        <v>1.5298548631380453</v>
      </c>
      <c r="E186" s="1"/>
      <c r="F186" s="1"/>
      <c r="G186" s="1"/>
      <c r="H186" s="1"/>
    </row>
    <row r="187" spans="2:8" ht="12.75">
      <c r="B187" s="17" t="s">
        <v>44</v>
      </c>
      <c r="C187" s="8">
        <v>29.36</v>
      </c>
      <c r="D187" s="8">
        <f>C187/3323.3/12*1000</f>
        <v>0.7362160101906738</v>
      </c>
      <c r="E187" s="1"/>
      <c r="F187" s="1"/>
      <c r="G187" s="1"/>
      <c r="H187" s="1"/>
    </row>
    <row r="188" spans="2:8" ht="12.75">
      <c r="B188" s="6" t="s">
        <v>16</v>
      </c>
      <c r="C188" s="8">
        <v>142</v>
      </c>
      <c r="D188" s="8">
        <f>C188/3323.3/12*1000</f>
        <v>3.5607177604589815</v>
      </c>
      <c r="E188" s="1"/>
      <c r="F188" s="1"/>
      <c r="G188" s="1"/>
      <c r="H188" s="1"/>
    </row>
    <row r="189" spans="2:8" ht="12.75">
      <c r="B189" s="10" t="s">
        <v>19</v>
      </c>
      <c r="C189" s="22">
        <f>SUM(C191:C196)</f>
        <v>103.58</v>
      </c>
      <c r="D189" s="22">
        <f>SUM(D191:D196)</f>
        <v>2.59731792696015</v>
      </c>
      <c r="E189" s="1"/>
      <c r="F189" s="1"/>
      <c r="G189" s="1"/>
      <c r="H189" s="1"/>
    </row>
    <row r="190" spans="2:8" ht="12.75">
      <c r="B190" s="10"/>
      <c r="C190" s="22"/>
      <c r="D190" s="8"/>
      <c r="E190" s="1"/>
      <c r="F190" s="1"/>
      <c r="G190" s="1"/>
      <c r="H190" s="1"/>
    </row>
    <row r="191" spans="2:8" ht="12.75">
      <c r="B191" s="6" t="s">
        <v>45</v>
      </c>
      <c r="C191" s="8">
        <v>92.25</v>
      </c>
      <c r="D191" s="8">
        <f>C191/3323.3/12*1000</f>
        <v>2.3132127704390215</v>
      </c>
      <c r="E191" s="1"/>
      <c r="F191" s="1"/>
      <c r="G191" s="1"/>
      <c r="H191" s="1"/>
    </row>
    <row r="192" spans="2:8" ht="12.75">
      <c r="B192" s="6" t="s">
        <v>46</v>
      </c>
      <c r="C192" s="8"/>
      <c r="D192" s="8">
        <f>C192/3323.3/12*1000</f>
        <v>0</v>
      </c>
      <c r="E192" s="1"/>
      <c r="F192" s="1"/>
      <c r="G192" s="1"/>
      <c r="H192" s="1"/>
    </row>
    <row r="193" spans="2:8" ht="12.75">
      <c r="B193" s="20" t="s">
        <v>47</v>
      </c>
      <c r="C193" s="8">
        <v>1.12</v>
      </c>
      <c r="D193" s="8">
        <f>C193/3323.3/12*1000</f>
        <v>0.028084534448690558</v>
      </c>
      <c r="E193" s="1"/>
      <c r="F193" s="1"/>
      <c r="G193" s="1"/>
      <c r="H193" s="1"/>
    </row>
    <row r="194" spans="2:8" ht="12.75">
      <c r="B194" s="8" t="s">
        <v>48</v>
      </c>
      <c r="C194" s="8">
        <v>8.49</v>
      </c>
      <c r="D194" s="8">
        <f>C194/3323.3/12*1000</f>
        <v>0.21289080131194896</v>
      </c>
      <c r="E194" s="1"/>
      <c r="F194" s="1"/>
      <c r="G194" s="1"/>
      <c r="H194" s="1"/>
    </row>
    <row r="195" spans="2:8" ht="12.75">
      <c r="B195" s="8" t="s">
        <v>49</v>
      </c>
      <c r="C195" s="8"/>
      <c r="D195" s="8">
        <f>C195/3323.3/12*1000</f>
        <v>0</v>
      </c>
      <c r="E195" s="1"/>
      <c r="F195" s="1"/>
      <c r="G195" s="1"/>
      <c r="H195" s="1"/>
    </row>
    <row r="196" spans="2:8" ht="12.75">
      <c r="B196" s="8" t="s">
        <v>50</v>
      </c>
      <c r="C196" s="8">
        <v>1.72</v>
      </c>
      <c r="D196" s="8">
        <f>C196/3323.3/12*1000</f>
        <v>0.043129820760489074</v>
      </c>
      <c r="E196" s="1"/>
      <c r="F196" s="1"/>
      <c r="G196" s="1"/>
      <c r="H196" s="1"/>
    </row>
    <row r="197" spans="2:8" ht="12.75">
      <c r="B197" s="14" t="s">
        <v>27</v>
      </c>
      <c r="C197" s="14">
        <v>57.08</v>
      </c>
      <c r="D197" s="14">
        <f>C197/3323.3/12*1000</f>
        <v>1.431308237795765</v>
      </c>
      <c r="E197" s="1"/>
      <c r="F197" s="1"/>
      <c r="G197" s="1"/>
      <c r="H197" s="1"/>
    </row>
    <row r="198" spans="2:8" ht="12.75">
      <c r="B198" s="14"/>
      <c r="C198" s="14"/>
      <c r="D198" s="8"/>
      <c r="E198" s="1"/>
      <c r="F198" s="1"/>
      <c r="G198" s="1"/>
      <c r="H198" s="1"/>
    </row>
    <row r="199" spans="2:8" ht="12.75">
      <c r="B199" s="14" t="s">
        <v>29</v>
      </c>
      <c r="C199" s="25">
        <f>C184+C185+C189+C197+C198</f>
        <v>459</v>
      </c>
      <c r="D199" s="14">
        <f>D184+D185+D189+D197+D198</f>
        <v>11.509644028525862</v>
      </c>
      <c r="E199" s="1"/>
      <c r="F199" s="1"/>
      <c r="G199" s="1"/>
      <c r="H199" s="1"/>
    </row>
    <row r="200" spans="2:8" ht="12.75">
      <c r="B200" s="8" t="s">
        <v>51</v>
      </c>
      <c r="C200" s="33">
        <v>45.9</v>
      </c>
      <c r="D200" s="8">
        <v>1.15</v>
      </c>
      <c r="E200" s="1"/>
      <c r="F200" s="1"/>
      <c r="G200" s="1"/>
      <c r="H200" s="1"/>
    </row>
    <row r="201" spans="2:8" ht="12.75">
      <c r="B201" s="14" t="s">
        <v>31</v>
      </c>
      <c r="C201" s="23">
        <f>C199+C200</f>
        <v>504.9</v>
      </c>
      <c r="D201" s="23">
        <f>D199+D200</f>
        <v>12.659644028525863</v>
      </c>
      <c r="E201" s="1"/>
      <c r="F201" s="1"/>
      <c r="G201" s="1"/>
      <c r="H201" s="1"/>
    </row>
    <row r="202" spans="2:8" ht="12.75">
      <c r="B202" s="6" t="s">
        <v>34</v>
      </c>
      <c r="C202" s="23">
        <f>C201/C183/12*1000</f>
        <v>12.66060843137845</v>
      </c>
      <c r="D202" s="8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 t="s">
        <v>52</v>
      </c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2" t="s">
        <v>0</v>
      </c>
      <c r="C206" s="2"/>
      <c r="D206" s="1"/>
      <c r="E206" s="1"/>
      <c r="F206" s="1"/>
      <c r="G206" s="1"/>
      <c r="H206" s="1"/>
    </row>
    <row r="207" spans="2:8" ht="12.75">
      <c r="B207" s="2" t="s">
        <v>60</v>
      </c>
      <c r="C207" s="2"/>
      <c r="D207" s="2"/>
      <c r="E207" s="1"/>
      <c r="F207" s="1"/>
      <c r="G207" s="1"/>
      <c r="H207" s="1"/>
    </row>
    <row r="208" spans="2:8" ht="12.75">
      <c r="B208" s="2" t="s">
        <v>61</v>
      </c>
      <c r="C208" s="2"/>
      <c r="D208" s="1"/>
      <c r="E208" s="1"/>
      <c r="F208" s="1"/>
      <c r="G208" s="1"/>
      <c r="H208" s="1"/>
    </row>
    <row r="209" spans="2:8" ht="12.75">
      <c r="B209" s="2"/>
      <c r="C209" s="2"/>
      <c r="D209" s="1"/>
      <c r="E209" s="1"/>
      <c r="F209" s="1"/>
      <c r="G209" s="1"/>
      <c r="H209" s="1"/>
    </row>
    <row r="210" spans="2:8" ht="12.75">
      <c r="B210" s="9"/>
      <c r="C210" s="5" t="s">
        <v>62</v>
      </c>
      <c r="D210" s="5"/>
      <c r="E210" s="34"/>
      <c r="F210" s="34"/>
      <c r="G210" s="34"/>
      <c r="H210" s="1"/>
    </row>
    <row r="211" spans="2:8" ht="12.75">
      <c r="B211" s="5" t="s">
        <v>4</v>
      </c>
      <c r="C211" s="6" t="s">
        <v>63</v>
      </c>
      <c r="D211" s="6" t="s">
        <v>41</v>
      </c>
      <c r="E211" s="35"/>
      <c r="F211" s="35"/>
      <c r="G211" s="27"/>
      <c r="H211" s="1"/>
    </row>
    <row r="212" spans="2:8" ht="12.75">
      <c r="B212" s="6"/>
      <c r="C212" s="6"/>
      <c r="D212" s="7"/>
      <c r="E212" s="34"/>
      <c r="F212" s="34"/>
      <c r="G212" s="34"/>
      <c r="H212" s="1"/>
    </row>
    <row r="213" spans="2:8" ht="12.75">
      <c r="B213" s="10" t="s">
        <v>42</v>
      </c>
      <c r="C213" s="8">
        <v>3609.7</v>
      </c>
      <c r="D213" s="8"/>
      <c r="E213" s="34"/>
      <c r="F213" s="34"/>
      <c r="G213" s="34"/>
      <c r="H213" s="1"/>
    </row>
    <row r="214" spans="2:8" ht="12.75">
      <c r="B214" s="11" t="s">
        <v>13</v>
      </c>
      <c r="C214" s="32">
        <v>71.53</v>
      </c>
      <c r="D214" s="14">
        <f>C214/3609.7/12*1000</f>
        <v>1.65133759961585</v>
      </c>
      <c r="E214" s="34"/>
      <c r="F214" s="34"/>
      <c r="G214" s="34"/>
      <c r="H214" s="1"/>
    </row>
    <row r="215" spans="2:8" ht="12.75">
      <c r="B215" s="15" t="s">
        <v>14</v>
      </c>
      <c r="C215" s="14">
        <f>SUM(C216:C219)</f>
        <v>266.46000000000004</v>
      </c>
      <c r="D215" s="14">
        <f>SUM(D216:D219)</f>
        <v>6.1514807324708425</v>
      </c>
      <c r="E215" s="34"/>
      <c r="F215" s="34"/>
      <c r="G215" s="34"/>
      <c r="H215" s="1"/>
    </row>
    <row r="216" spans="2:8" ht="12.75">
      <c r="B216" s="6" t="s">
        <v>43</v>
      </c>
      <c r="C216" s="8">
        <v>66.28</v>
      </c>
      <c r="D216" s="8">
        <f>C216/3609.7/12*1000</f>
        <v>1.5301363917592412</v>
      </c>
      <c r="E216" s="34"/>
      <c r="F216" s="34"/>
      <c r="G216" s="34"/>
      <c r="H216" s="1"/>
    </row>
    <row r="217" spans="2:8" ht="12.75">
      <c r="B217" s="17" t="s">
        <v>44</v>
      </c>
      <c r="C217" s="8">
        <v>31.89</v>
      </c>
      <c r="D217" s="8">
        <f>C217/3609.7/12*1000</f>
        <v>0.736210765437571</v>
      </c>
      <c r="E217" s="34"/>
      <c r="F217" s="34"/>
      <c r="G217" s="34"/>
      <c r="H217" s="1"/>
    </row>
    <row r="218" spans="2:8" ht="12.75">
      <c r="B218" s="6" t="s">
        <v>16</v>
      </c>
      <c r="C218" s="8">
        <v>158.33</v>
      </c>
      <c r="D218" s="8">
        <f>C218/3609.7/12*1000</f>
        <v>3.655197569511779</v>
      </c>
      <c r="E218" s="34"/>
      <c r="F218" s="34"/>
      <c r="G218" s="34"/>
      <c r="H218" s="1"/>
    </row>
    <row r="219" spans="2:8" ht="12.75">
      <c r="B219" s="6" t="s">
        <v>64</v>
      </c>
      <c r="C219" s="8">
        <v>9.96</v>
      </c>
      <c r="D219" s="8">
        <f>C219/3609.7/12*1000</f>
        <v>0.22993600576225173</v>
      </c>
      <c r="E219" s="34"/>
      <c r="F219" s="34"/>
      <c r="G219" s="34"/>
      <c r="H219" s="1"/>
    </row>
    <row r="220" spans="2:8" ht="12.75">
      <c r="B220" s="10" t="s">
        <v>19</v>
      </c>
      <c r="C220" s="22">
        <f>SUM(C222:C226)</f>
        <v>106.96</v>
      </c>
      <c r="D220" s="22">
        <f>SUM(D222:D226)</f>
        <v>2.469272608065306</v>
      </c>
      <c r="E220" s="34"/>
      <c r="F220" s="34"/>
      <c r="G220" s="34"/>
      <c r="H220" s="1"/>
    </row>
    <row r="221" spans="2:8" ht="12.75">
      <c r="B221" s="10"/>
      <c r="C221" s="22"/>
      <c r="D221" s="8"/>
      <c r="E221" s="34"/>
      <c r="F221" s="34"/>
      <c r="G221" s="34"/>
      <c r="H221" s="1"/>
    </row>
    <row r="222" spans="2:8" ht="12.75">
      <c r="B222" s="6" t="s">
        <v>45</v>
      </c>
      <c r="C222" s="8">
        <v>95.3</v>
      </c>
      <c r="D222" s="8">
        <f>C222/3609.7/12*1000</f>
        <v>2.2000904969018666</v>
      </c>
      <c r="E222" s="34"/>
      <c r="F222" s="34"/>
      <c r="G222" s="34"/>
      <c r="H222" s="1"/>
    </row>
    <row r="223" spans="2:8" ht="12.75">
      <c r="B223" s="6" t="s">
        <v>46</v>
      </c>
      <c r="C223" s="8"/>
      <c r="D223" s="8">
        <f>C223/3609.7/12*1000</f>
        <v>0</v>
      </c>
      <c r="E223" s="34"/>
      <c r="F223" s="34"/>
      <c r="G223" s="34"/>
      <c r="H223" s="1"/>
    </row>
    <row r="224" spans="2:8" ht="12.75">
      <c r="B224" s="20" t="s">
        <v>47</v>
      </c>
      <c r="C224" s="8">
        <v>1.43</v>
      </c>
      <c r="D224" s="8">
        <f>C224/3609.7/12*1000</f>
        <v>0.033012900425704816</v>
      </c>
      <c r="E224" s="34"/>
      <c r="F224" s="34"/>
      <c r="G224" s="34"/>
      <c r="H224" s="1"/>
    </row>
    <row r="225" spans="2:8" ht="12.75">
      <c r="B225" s="8" t="s">
        <v>48</v>
      </c>
      <c r="C225" s="8">
        <v>8.49</v>
      </c>
      <c r="D225" s="8">
        <f>C225/3609.7/12*1000</f>
        <v>0.1959996675624013</v>
      </c>
      <c r="E225" s="34"/>
      <c r="F225" s="34"/>
      <c r="G225" s="34"/>
      <c r="H225" s="1"/>
    </row>
    <row r="226" spans="2:8" ht="12.75">
      <c r="B226" s="8" t="s">
        <v>50</v>
      </c>
      <c r="C226" s="8">
        <v>1.74</v>
      </c>
      <c r="D226" s="8">
        <f>C226/3609.7/12*1000</f>
        <v>0.04016954317533313</v>
      </c>
      <c r="E226" s="34"/>
      <c r="F226" s="34"/>
      <c r="G226" s="34"/>
      <c r="H226" s="1"/>
    </row>
    <row r="227" spans="2:8" ht="12.75">
      <c r="B227" s="14" t="s">
        <v>27</v>
      </c>
      <c r="C227" s="14">
        <v>61.98</v>
      </c>
      <c r="D227" s="8">
        <f>C227/3609.7/12*1000</f>
        <v>1.4308668310385904</v>
      </c>
      <c r="E227" s="34"/>
      <c r="F227" s="34"/>
      <c r="G227" s="34"/>
      <c r="H227" s="1"/>
    </row>
    <row r="228" spans="2:8" ht="12.75">
      <c r="B228" s="14"/>
      <c r="C228" s="14"/>
      <c r="D228" s="8"/>
      <c r="E228" s="34"/>
      <c r="F228" s="34"/>
      <c r="G228" s="34"/>
      <c r="H228" s="1"/>
    </row>
    <row r="229" spans="2:8" ht="12.75">
      <c r="B229" s="14" t="s">
        <v>29</v>
      </c>
      <c r="C229" s="14">
        <f>C214+C215+C220+C227+C228</f>
        <v>506.93</v>
      </c>
      <c r="D229" s="14">
        <f>D214+D215+D220+D227+D228</f>
        <v>11.702957771190588</v>
      </c>
      <c r="E229" s="34"/>
      <c r="F229" s="34"/>
      <c r="G229" s="34"/>
      <c r="H229" s="1"/>
    </row>
    <row r="230" spans="2:8" ht="12.75">
      <c r="B230" s="8" t="s">
        <v>51</v>
      </c>
      <c r="C230" s="8">
        <v>50.69</v>
      </c>
      <c r="D230" s="8">
        <v>1.17</v>
      </c>
      <c r="E230" s="34"/>
      <c r="F230" s="34"/>
      <c r="G230" s="34"/>
      <c r="H230" s="1"/>
    </row>
    <row r="231" spans="2:8" ht="12.75">
      <c r="B231" s="14" t="s">
        <v>31</v>
      </c>
      <c r="C231" s="23">
        <f>C229+C230</f>
        <v>557.62</v>
      </c>
      <c r="D231" s="23">
        <f>D229+D230</f>
        <v>12.872957771190588</v>
      </c>
      <c r="E231" s="34"/>
      <c r="F231" s="34"/>
      <c r="G231" s="34"/>
      <c r="H231" s="1"/>
    </row>
    <row r="232" spans="2:8" ht="12.75">
      <c r="B232" s="6" t="s">
        <v>34</v>
      </c>
      <c r="C232" s="23">
        <f>C231/C213/12*1000</f>
        <v>12.873184290476589</v>
      </c>
      <c r="D232" s="8"/>
      <c r="E232" s="34"/>
      <c r="F232" s="34"/>
      <c r="G232" s="34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34" t="s">
        <v>52</v>
      </c>
      <c r="C234" s="34"/>
      <c r="D234" s="34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2" t="s">
        <v>0</v>
      </c>
      <c r="C236" s="2"/>
      <c r="D236" s="2"/>
      <c r="E236" s="2"/>
      <c r="F236" s="2"/>
      <c r="G236" s="2"/>
      <c r="H236" s="2"/>
    </row>
    <row r="237" spans="2:8" ht="12.75">
      <c r="B237" s="2" t="s">
        <v>65</v>
      </c>
      <c r="C237" s="2"/>
      <c r="D237" s="2"/>
      <c r="E237" s="2"/>
      <c r="F237" s="2"/>
      <c r="G237" s="2"/>
      <c r="H237" s="2"/>
    </row>
    <row r="238" spans="2:8" ht="12.75">
      <c r="B238" s="2" t="s">
        <v>66</v>
      </c>
      <c r="C238" s="2"/>
      <c r="D238" s="2"/>
      <c r="E238" s="2"/>
      <c r="F238" s="2"/>
      <c r="G238" s="2"/>
      <c r="H238" s="2"/>
    </row>
    <row r="239" spans="2:8" ht="12.75">
      <c r="B239" s="3"/>
      <c r="C239" s="3"/>
      <c r="D239" s="1"/>
      <c r="E239" s="1"/>
      <c r="F239" s="1"/>
      <c r="G239" s="1"/>
      <c r="H239" s="1"/>
    </row>
    <row r="240" spans="2:8" ht="12.75">
      <c r="B240" s="5" t="s">
        <v>4</v>
      </c>
      <c r="C240" s="31" t="s">
        <v>40</v>
      </c>
      <c r="D240" s="6" t="s">
        <v>41</v>
      </c>
      <c r="E240" s="6" t="s">
        <v>67</v>
      </c>
      <c r="F240" s="6"/>
      <c r="G240" s="6" t="s">
        <v>41</v>
      </c>
      <c r="H240" s="6" t="s">
        <v>68</v>
      </c>
    </row>
    <row r="241" spans="2:8" ht="12.75">
      <c r="B241" s="6"/>
      <c r="C241" s="6"/>
      <c r="D241" s="7"/>
      <c r="E241" s="7"/>
      <c r="F241" s="7"/>
      <c r="G241" s="7"/>
      <c r="H241" s="7"/>
    </row>
    <row r="242" spans="2:8" ht="12.75">
      <c r="B242" s="10" t="s">
        <v>42</v>
      </c>
      <c r="C242" s="8">
        <v>519.71</v>
      </c>
      <c r="D242" s="8"/>
      <c r="E242" s="7"/>
      <c r="F242" s="7"/>
      <c r="G242" s="7"/>
      <c r="H242" s="7"/>
    </row>
    <row r="243" spans="2:8" ht="12.75">
      <c r="B243" s="11" t="s">
        <v>13</v>
      </c>
      <c r="C243" s="30">
        <v>14.5</v>
      </c>
      <c r="D243" s="8">
        <f>C243/519.71/12*1000</f>
        <v>2.325014591470884</v>
      </c>
      <c r="E243" s="8"/>
      <c r="F243" s="8"/>
      <c r="G243" s="8"/>
      <c r="H243" s="8">
        <f>D243+G243</f>
        <v>2.325014591470884</v>
      </c>
    </row>
    <row r="244" spans="2:8" ht="12.75">
      <c r="B244" s="15" t="s">
        <v>14</v>
      </c>
      <c r="C244" s="9">
        <f>SUM(C245:C247)</f>
        <v>32.477000000000004</v>
      </c>
      <c r="D244" s="9">
        <f>SUM(D245:D247)</f>
        <v>5.207551647393098</v>
      </c>
      <c r="E244" s="9">
        <f>SUM(E245:E247)</f>
        <v>0</v>
      </c>
      <c r="F244" s="9"/>
      <c r="G244" s="9">
        <f>SUM(G245:G247)</f>
        <v>0</v>
      </c>
      <c r="H244" s="9">
        <f>SUM(H245:H247)</f>
        <v>5.207551647393098</v>
      </c>
    </row>
    <row r="245" spans="2:8" ht="12.75">
      <c r="B245" s="6" t="s">
        <v>43</v>
      </c>
      <c r="C245" s="8">
        <f>4.05+5.49</f>
        <v>9.54</v>
      </c>
      <c r="D245" s="8">
        <f>C245/519.71/12*1000</f>
        <v>1.5296992553539472</v>
      </c>
      <c r="E245" s="8"/>
      <c r="F245" s="8"/>
      <c r="G245" s="8"/>
      <c r="H245" s="8">
        <f>D245+G245</f>
        <v>1.5296992553539472</v>
      </c>
    </row>
    <row r="246" spans="2:8" ht="12.75">
      <c r="B246" s="17" t="s">
        <v>44</v>
      </c>
      <c r="C246" s="8">
        <v>4.59</v>
      </c>
      <c r="D246" s="8">
        <f>C246/519.71/12*1000</f>
        <v>0.7359873775759558</v>
      </c>
      <c r="E246" s="8"/>
      <c r="F246" s="8"/>
      <c r="G246" s="8"/>
      <c r="H246" s="8">
        <f>D246+G246</f>
        <v>0.7359873775759558</v>
      </c>
    </row>
    <row r="247" spans="2:8" ht="12.75">
      <c r="B247" s="6" t="s">
        <v>16</v>
      </c>
      <c r="C247" s="8">
        <v>18.347</v>
      </c>
      <c r="D247" s="8">
        <f>C247/519.71/12*1000</f>
        <v>2.941865014463194</v>
      </c>
      <c r="E247" s="8"/>
      <c r="F247" s="8"/>
      <c r="G247" s="8"/>
      <c r="H247" s="8">
        <f>D247+G247</f>
        <v>2.941865014463194</v>
      </c>
    </row>
    <row r="248" spans="2:8" ht="12.75">
      <c r="B248" s="10" t="s">
        <v>19</v>
      </c>
      <c r="C248" s="22">
        <f>SUM(C249:C253)</f>
        <v>15.389999999999999</v>
      </c>
      <c r="D248" s="22">
        <f>SUM(D249:D253)</f>
        <v>2.467722383637028</v>
      </c>
      <c r="E248" s="22">
        <f>SUM(E249:E253)</f>
        <v>25.9</v>
      </c>
      <c r="F248" s="22"/>
      <c r="G248" s="22">
        <f>SUM(G249:G253)</f>
        <v>4.152957097868683</v>
      </c>
      <c r="H248" s="22">
        <f>SUM(H249:H253)</f>
        <v>6.620679481505711</v>
      </c>
    </row>
    <row r="249" spans="2:8" ht="12.75">
      <c r="B249" s="6" t="s">
        <v>45</v>
      </c>
      <c r="C249" s="8">
        <f>10.82+2.19+1.1</f>
        <v>14.11</v>
      </c>
      <c r="D249" s="8">
        <f>C249/519.71/12*1000</f>
        <v>2.2624797162520123</v>
      </c>
      <c r="E249" s="8"/>
      <c r="F249" s="8"/>
      <c r="G249" s="8"/>
      <c r="H249" s="8">
        <f>D249+G249</f>
        <v>2.2624797162520123</v>
      </c>
    </row>
    <row r="250" spans="2:8" ht="12.75">
      <c r="B250" s="6" t="s">
        <v>46</v>
      </c>
      <c r="C250" s="8"/>
      <c r="D250" s="8">
        <f>C250/519.71/12*1000</f>
        <v>0</v>
      </c>
      <c r="E250" s="8"/>
      <c r="F250" s="8"/>
      <c r="G250" s="8"/>
      <c r="H250" s="8">
        <f>D250+G250</f>
        <v>0</v>
      </c>
    </row>
    <row r="251" spans="2:8" ht="12.75">
      <c r="B251" s="8" t="s">
        <v>48</v>
      </c>
      <c r="C251" s="8">
        <v>1.06</v>
      </c>
      <c r="D251" s="8">
        <f>C251/519.71/12*1000</f>
        <v>0.16996658392821637</v>
      </c>
      <c r="E251" s="8"/>
      <c r="F251" s="8"/>
      <c r="G251" s="8"/>
      <c r="H251" s="8">
        <f>D251+G251</f>
        <v>0.16996658392821637</v>
      </c>
    </row>
    <row r="252" spans="2:8" ht="12.75">
      <c r="B252" s="8" t="s">
        <v>67</v>
      </c>
      <c r="C252" s="8"/>
      <c r="D252" s="8"/>
      <c r="E252" s="8">
        <v>25.9</v>
      </c>
      <c r="F252" s="8"/>
      <c r="G252" s="8">
        <f>E252/C242/12*1000</f>
        <v>4.152957097868683</v>
      </c>
      <c r="H252" s="8">
        <f>D252+G252</f>
        <v>4.152957097868683</v>
      </c>
    </row>
    <row r="253" spans="2:8" ht="12.75">
      <c r="B253" s="8" t="s">
        <v>50</v>
      </c>
      <c r="C253" s="8">
        <v>0.22</v>
      </c>
      <c r="D253" s="8">
        <f>C253/519.71/12*1000</f>
        <v>0.035276083456799626</v>
      </c>
      <c r="E253" s="8"/>
      <c r="F253" s="8"/>
      <c r="G253" s="8"/>
      <c r="H253" s="8">
        <f>D253+G253</f>
        <v>0.035276083456799626</v>
      </c>
    </row>
    <row r="254" spans="2:8" ht="12.75">
      <c r="B254" s="14" t="s">
        <v>27</v>
      </c>
      <c r="C254" s="14">
        <f>7.75+1.65</f>
        <v>9.4</v>
      </c>
      <c r="D254" s="8">
        <f>C254/519.71/12*1000</f>
        <v>1.5072508386087113</v>
      </c>
      <c r="E254" s="8"/>
      <c r="F254" s="8"/>
      <c r="G254" s="8"/>
      <c r="H254" s="8">
        <f>D254+G254</f>
        <v>1.5072508386087113</v>
      </c>
    </row>
    <row r="255" spans="2:8" ht="12.75">
      <c r="B255" s="14"/>
      <c r="C255" s="14"/>
      <c r="D255" s="8"/>
      <c r="E255" s="8"/>
      <c r="F255" s="8"/>
      <c r="G255" s="8"/>
      <c r="H255" s="8">
        <f>D255+G255</f>
        <v>0</v>
      </c>
    </row>
    <row r="256" spans="2:8" ht="12.75">
      <c r="B256" s="14" t="s">
        <v>29</v>
      </c>
      <c r="C256" s="14">
        <f>C243+C244+C248+C254+C255</f>
        <v>71.76700000000001</v>
      </c>
      <c r="D256" s="14">
        <f>D243+D244+D248+D254+D255</f>
        <v>11.507539461109722</v>
      </c>
      <c r="E256" s="14">
        <f>E243+E244+E248+E254+E255</f>
        <v>25.9</v>
      </c>
      <c r="F256" s="14"/>
      <c r="G256" s="14">
        <f>G243+G244+G248+G254+G255</f>
        <v>4.152957097868683</v>
      </c>
      <c r="H256" s="8">
        <f>D256+G256</f>
        <v>15.660496558978405</v>
      </c>
    </row>
    <row r="257" spans="2:8" ht="12.75">
      <c r="B257" s="8" t="s">
        <v>51</v>
      </c>
      <c r="C257" s="8">
        <v>7.18</v>
      </c>
      <c r="D257" s="8">
        <f>C257/519.71/12*1000</f>
        <v>1.1512830873628241</v>
      </c>
      <c r="E257" s="8">
        <v>2.59</v>
      </c>
      <c r="F257" s="8"/>
      <c r="G257" s="8">
        <v>0.42</v>
      </c>
      <c r="H257" s="8">
        <f>D257+G257</f>
        <v>1.571283087362824</v>
      </c>
    </row>
    <row r="258" spans="2:8" ht="12.75">
      <c r="B258" s="14" t="s">
        <v>31</v>
      </c>
      <c r="C258" s="23">
        <f>C256+C257</f>
        <v>78.947</v>
      </c>
      <c r="D258" s="23">
        <f>D256+D257</f>
        <v>12.658822548472546</v>
      </c>
      <c r="E258" s="23">
        <f>E256+E257</f>
        <v>28.49</v>
      </c>
      <c r="F258" s="23"/>
      <c r="G258" s="23">
        <f>G256+G257</f>
        <v>4.572957097868683</v>
      </c>
      <c r="H258" s="8">
        <f>D258+G258</f>
        <v>17.23177964634123</v>
      </c>
    </row>
    <row r="259" spans="2:8" ht="12.75">
      <c r="B259" s="6" t="s">
        <v>34</v>
      </c>
      <c r="C259" s="23">
        <f>C258/C242/12*1000</f>
        <v>12.658822548472545</v>
      </c>
      <c r="D259" s="8"/>
      <c r="E259" s="8">
        <f>E258/C242/12*1000</f>
        <v>4.568252807655551</v>
      </c>
      <c r="F259" s="8"/>
      <c r="G259" s="8"/>
      <c r="H259" s="8">
        <f>H258</f>
        <v>17.23177964634123</v>
      </c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36" t="s">
        <v>52</v>
      </c>
      <c r="C261" s="36"/>
      <c r="D261" s="36"/>
      <c r="E261" s="36"/>
      <c r="F261" s="36"/>
      <c r="G261" s="36"/>
      <c r="H261" s="36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2" t="s">
        <v>0</v>
      </c>
      <c r="C263" s="2"/>
      <c r="D263" s="1"/>
      <c r="E263" s="1"/>
      <c r="F263" s="1"/>
      <c r="G263" s="1"/>
      <c r="H263" s="1"/>
    </row>
    <row r="264" spans="2:8" ht="12.75">
      <c r="B264" s="2" t="s">
        <v>65</v>
      </c>
      <c r="C264" s="2"/>
      <c r="D264" s="2"/>
      <c r="E264" s="1"/>
      <c r="F264" s="1"/>
      <c r="G264" s="1"/>
      <c r="H264" s="1"/>
    </row>
    <row r="265" spans="2:8" ht="12.75">
      <c r="B265" s="2" t="s">
        <v>69</v>
      </c>
      <c r="C265" s="2"/>
      <c r="D265" s="1"/>
      <c r="E265" s="1"/>
      <c r="F265" s="1"/>
      <c r="G265" s="1"/>
      <c r="H265" s="1"/>
    </row>
    <row r="266" spans="2:8" ht="12.75">
      <c r="B266" s="3"/>
      <c r="C266" s="3"/>
      <c r="D266" s="1"/>
      <c r="E266" s="1"/>
      <c r="F266" s="1"/>
      <c r="G266" s="1"/>
      <c r="H266" s="1"/>
    </row>
    <row r="267" spans="2:8" ht="12.75">
      <c r="B267" s="5" t="s">
        <v>4</v>
      </c>
      <c r="C267" s="31" t="s">
        <v>40</v>
      </c>
      <c r="D267" s="6" t="s">
        <v>41</v>
      </c>
      <c r="E267" s="1"/>
      <c r="F267" s="1"/>
      <c r="G267" s="1"/>
      <c r="H267" s="1"/>
    </row>
    <row r="268" spans="2:8" ht="12.75">
      <c r="B268" s="6"/>
      <c r="C268" s="6"/>
      <c r="D268" s="7"/>
      <c r="E268" s="1"/>
      <c r="F268" s="1"/>
      <c r="G268" s="1"/>
      <c r="H268" s="1"/>
    </row>
    <row r="269" spans="2:8" ht="12.75">
      <c r="B269" s="10" t="s">
        <v>42</v>
      </c>
      <c r="C269" s="8">
        <v>446.6</v>
      </c>
      <c r="D269" s="8"/>
      <c r="E269" s="1"/>
      <c r="F269" s="1"/>
      <c r="G269" s="1"/>
      <c r="H269" s="1"/>
    </row>
    <row r="270" spans="2:8" ht="12.75">
      <c r="B270" s="11" t="s">
        <v>13</v>
      </c>
      <c r="C270" s="30">
        <v>9.16</v>
      </c>
      <c r="D270" s="8">
        <f>C270/446.6/12*1000</f>
        <v>1.709210329899985</v>
      </c>
      <c r="E270" s="1"/>
      <c r="F270" s="1"/>
      <c r="G270" s="1"/>
      <c r="H270" s="1"/>
    </row>
    <row r="271" spans="2:8" ht="12.75">
      <c r="B271" s="15" t="s">
        <v>14</v>
      </c>
      <c r="C271" s="9">
        <f>SUM(C272:C274)</f>
        <v>31.259999999999998</v>
      </c>
      <c r="D271" s="9">
        <f>SUM(D272:D274)</f>
        <v>5.8329601433049705</v>
      </c>
      <c r="E271" s="1"/>
      <c r="F271" s="1"/>
      <c r="G271" s="1"/>
      <c r="H271" s="1"/>
    </row>
    <row r="272" spans="2:8" ht="12.75">
      <c r="B272" s="6" t="s">
        <v>43</v>
      </c>
      <c r="C272" s="8">
        <f>3.48+4.72</f>
        <v>8.2</v>
      </c>
      <c r="D272" s="8">
        <f>C272/446.6/12*1000</f>
        <v>1.5300791162860123</v>
      </c>
      <c r="E272" s="1"/>
      <c r="F272" s="1"/>
      <c r="G272" s="1"/>
      <c r="H272" s="1"/>
    </row>
    <row r="273" spans="2:8" ht="12.75">
      <c r="B273" s="17" t="s">
        <v>44</v>
      </c>
      <c r="C273" s="8">
        <v>3.95</v>
      </c>
      <c r="D273" s="8">
        <f>C273/446.6/12*1000</f>
        <v>0.7370503060158233</v>
      </c>
      <c r="E273" s="1"/>
      <c r="F273" s="1"/>
      <c r="G273" s="1"/>
      <c r="H273" s="1"/>
    </row>
    <row r="274" spans="2:8" ht="12.75">
      <c r="B274" s="6" t="s">
        <v>16</v>
      </c>
      <c r="C274" s="8">
        <v>19.11</v>
      </c>
      <c r="D274" s="8">
        <f>C274/446.6/12*1000</f>
        <v>3.5658307210031346</v>
      </c>
      <c r="E274" s="1"/>
      <c r="F274" s="1"/>
      <c r="G274" s="1"/>
      <c r="H274" s="1"/>
    </row>
    <row r="275" spans="2:8" ht="12.75">
      <c r="B275" s="10" t="s">
        <v>19</v>
      </c>
      <c r="C275" s="22">
        <f>SUM(C276:C279)</f>
        <v>13.57</v>
      </c>
      <c r="D275" s="22">
        <f>SUM(D276:D279)</f>
        <v>2.53209434243917</v>
      </c>
      <c r="E275" s="1"/>
      <c r="F275" s="1"/>
      <c r="G275" s="1"/>
      <c r="H275" s="1"/>
    </row>
    <row r="276" spans="2:8" ht="12.75">
      <c r="B276" s="6" t="s">
        <v>45</v>
      </c>
      <c r="C276" s="8">
        <f>9.31+1.88+0.94</f>
        <v>12.13</v>
      </c>
      <c r="D276" s="8">
        <f>C276/446.6/12*1000</f>
        <v>2.2633975220182116</v>
      </c>
      <c r="E276" s="1"/>
      <c r="F276" s="1"/>
      <c r="G276" s="1"/>
      <c r="H276" s="1"/>
    </row>
    <row r="277" spans="2:8" ht="12.75">
      <c r="B277" s="6" t="s">
        <v>46</v>
      </c>
      <c r="C277" s="8"/>
      <c r="D277" s="8">
        <f>C277/446.6/12*1000</f>
        <v>0</v>
      </c>
      <c r="E277" s="1"/>
      <c r="F277" s="1"/>
      <c r="G277" s="1"/>
      <c r="H277" s="1"/>
    </row>
    <row r="278" spans="2:8" ht="12.75">
      <c r="B278" s="8" t="s">
        <v>48</v>
      </c>
      <c r="C278" s="8">
        <v>1.06</v>
      </c>
      <c r="D278" s="8">
        <f>C278/446.6/12*1000</f>
        <v>0.19779071503209436</v>
      </c>
      <c r="E278" s="1"/>
      <c r="F278" s="1"/>
      <c r="G278" s="1"/>
      <c r="H278" s="1"/>
    </row>
    <row r="279" spans="2:8" ht="12.75">
      <c r="B279" s="8" t="s">
        <v>50</v>
      </c>
      <c r="C279" s="8">
        <v>0.38</v>
      </c>
      <c r="D279" s="8">
        <f>C279/446.6/12*1000</f>
        <v>0.07090610538886401</v>
      </c>
      <c r="E279" s="1"/>
      <c r="F279" s="1"/>
      <c r="G279" s="1"/>
      <c r="H279" s="1"/>
    </row>
    <row r="280" spans="2:8" ht="12.75">
      <c r="B280" s="14" t="s">
        <v>27</v>
      </c>
      <c r="C280" s="14">
        <f>6.66+1.04</f>
        <v>7.7</v>
      </c>
      <c r="D280" s="8">
        <f>C280/446.6/12*1000</f>
        <v>1.4367816091954022</v>
      </c>
      <c r="E280" s="1"/>
      <c r="F280" s="1"/>
      <c r="G280" s="1"/>
      <c r="H280" s="1"/>
    </row>
    <row r="281" spans="2:8" ht="12.75">
      <c r="B281" s="14"/>
      <c r="C281" s="14"/>
      <c r="D281" s="8"/>
      <c r="E281" s="1"/>
      <c r="F281" s="1"/>
      <c r="G281" s="1"/>
      <c r="H281" s="1"/>
    </row>
    <row r="282" spans="2:8" ht="12.75">
      <c r="B282" s="14" t="s">
        <v>29</v>
      </c>
      <c r="C282" s="14">
        <f>C270+C271+C275+C280+C281</f>
        <v>61.690000000000005</v>
      </c>
      <c r="D282" s="14">
        <f>D270+D271+D275+D280+D281</f>
        <v>11.511046424839527</v>
      </c>
      <c r="E282" s="1"/>
      <c r="F282" s="1"/>
      <c r="G282" s="1"/>
      <c r="H282" s="1"/>
    </row>
    <row r="283" spans="2:8" ht="12.75">
      <c r="B283" s="8" t="s">
        <v>51</v>
      </c>
      <c r="C283" s="8">
        <v>6.17</v>
      </c>
      <c r="D283" s="8">
        <f>C283/446.6/12*1000</f>
        <v>1.1512912374981341</v>
      </c>
      <c r="E283" s="1"/>
      <c r="F283" s="1"/>
      <c r="G283" s="1"/>
      <c r="H283" s="1"/>
    </row>
    <row r="284" spans="2:8" ht="12.75">
      <c r="B284" s="14" t="s">
        <v>31</v>
      </c>
      <c r="C284" s="23">
        <f>C282+C283</f>
        <v>67.86</v>
      </c>
      <c r="D284" s="23">
        <f>D282+D283</f>
        <v>12.662337662337661</v>
      </c>
      <c r="E284" s="1"/>
      <c r="F284" s="1"/>
      <c r="G284" s="1"/>
      <c r="H284" s="1"/>
    </row>
    <row r="285" spans="2:8" ht="12.75">
      <c r="B285" s="6" t="s">
        <v>34</v>
      </c>
      <c r="C285" s="23">
        <f>C284/C269/12*1000</f>
        <v>12.662337662337661</v>
      </c>
      <c r="D285" s="8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 t="s">
        <v>52</v>
      </c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2" t="s">
        <v>0</v>
      </c>
      <c r="C289" s="2"/>
      <c r="D289" s="1"/>
      <c r="E289" s="1"/>
      <c r="F289" s="1"/>
      <c r="G289" s="1"/>
      <c r="H289" s="1"/>
    </row>
    <row r="290" spans="2:8" ht="12.75">
      <c r="B290" s="2" t="s">
        <v>65</v>
      </c>
      <c r="C290" s="2"/>
      <c r="D290" s="2"/>
      <c r="E290" s="1"/>
      <c r="F290" s="1"/>
      <c r="G290" s="1"/>
      <c r="H290" s="1"/>
    </row>
    <row r="291" spans="2:8" ht="12.75">
      <c r="B291" s="2" t="s">
        <v>70</v>
      </c>
      <c r="C291" s="2"/>
      <c r="D291" s="1"/>
      <c r="E291" s="1"/>
      <c r="F291" s="1"/>
      <c r="G291" s="1"/>
      <c r="H291" s="1"/>
    </row>
    <row r="292" spans="2:8" ht="12.75">
      <c r="B292" s="3"/>
      <c r="C292" s="3"/>
      <c r="D292" s="1"/>
      <c r="E292" s="1"/>
      <c r="F292" s="1"/>
      <c r="G292" s="1"/>
      <c r="H292" s="1"/>
    </row>
    <row r="293" spans="2:8" ht="12.75">
      <c r="B293" s="5" t="s">
        <v>4</v>
      </c>
      <c r="C293" s="31" t="s">
        <v>40</v>
      </c>
      <c r="D293" s="6" t="s">
        <v>41</v>
      </c>
      <c r="E293" s="1"/>
      <c r="F293" s="1"/>
      <c r="G293" s="1"/>
      <c r="H293" s="1"/>
    </row>
    <row r="294" spans="2:8" ht="12.75">
      <c r="B294" s="6"/>
      <c r="C294" s="6"/>
      <c r="D294" s="7"/>
      <c r="E294" s="1"/>
      <c r="F294" s="1"/>
      <c r="G294" s="1"/>
      <c r="H294" s="1"/>
    </row>
    <row r="295" spans="2:8" ht="12.75">
      <c r="B295" s="10" t="s">
        <v>42</v>
      </c>
      <c r="C295" s="8">
        <v>465.4</v>
      </c>
      <c r="D295" s="8"/>
      <c r="E295" s="1"/>
      <c r="F295" s="1"/>
      <c r="G295" s="1"/>
      <c r="H295" s="1"/>
    </row>
    <row r="296" spans="2:8" ht="12.75">
      <c r="B296" s="11" t="s">
        <v>13</v>
      </c>
      <c r="C296" s="30">
        <v>9.54</v>
      </c>
      <c r="D296" s="8">
        <f>C296/465.4/12*1000</f>
        <v>1.708207993124194</v>
      </c>
      <c r="E296" s="1"/>
      <c r="F296" s="1"/>
      <c r="G296" s="1"/>
      <c r="H296" s="1"/>
    </row>
    <row r="297" spans="2:8" ht="12.75">
      <c r="B297" s="15" t="s">
        <v>14</v>
      </c>
      <c r="C297" s="9">
        <f>SUM(C298:C300)</f>
        <v>30.459999999999997</v>
      </c>
      <c r="D297" s="9">
        <f>SUM(D298:D300)</f>
        <v>5.454089671966766</v>
      </c>
      <c r="E297" s="1"/>
      <c r="F297" s="1"/>
      <c r="G297" s="1"/>
      <c r="H297" s="1"/>
    </row>
    <row r="298" spans="2:8" ht="12.75">
      <c r="B298" s="6" t="s">
        <v>43</v>
      </c>
      <c r="C298" s="8">
        <f>3.63+4.91</f>
        <v>8.54</v>
      </c>
      <c r="D298" s="8">
        <f>C298/465.4/12*1000</f>
        <v>1.5291505514969201</v>
      </c>
      <c r="E298" s="1"/>
      <c r="F298" s="1"/>
      <c r="G298" s="1"/>
      <c r="H298" s="1"/>
    </row>
    <row r="299" spans="2:8" ht="12.75">
      <c r="B299" s="17" t="s">
        <v>44</v>
      </c>
      <c r="C299" s="8">
        <v>4.11</v>
      </c>
      <c r="D299" s="8">
        <f>C299/465.4/12*1000</f>
        <v>0.7359260850880963</v>
      </c>
      <c r="E299" s="1"/>
      <c r="F299" s="1"/>
      <c r="G299" s="1"/>
      <c r="H299" s="1"/>
    </row>
    <row r="300" spans="2:8" ht="12.75">
      <c r="B300" s="6" t="s">
        <v>16</v>
      </c>
      <c r="C300" s="8">
        <v>17.81</v>
      </c>
      <c r="D300" s="8">
        <f>C300/465.4/12*1000</f>
        <v>3.1890130353817505</v>
      </c>
      <c r="E300" s="1"/>
      <c r="F300" s="1"/>
      <c r="G300" s="1"/>
      <c r="H300" s="1"/>
    </row>
    <row r="301" spans="2:8" ht="12.75">
      <c r="B301" s="10" t="s">
        <v>19</v>
      </c>
      <c r="C301" s="22">
        <f>SUM(C302:C305)</f>
        <v>16.240000000000002</v>
      </c>
      <c r="D301" s="22">
        <f>SUM(D302:D305)</f>
        <v>2.9078928520269303</v>
      </c>
      <c r="E301" s="1"/>
      <c r="F301" s="1"/>
      <c r="G301" s="1"/>
      <c r="H301" s="1"/>
    </row>
    <row r="302" spans="2:8" ht="12.75">
      <c r="B302" s="6" t="s">
        <v>45</v>
      </c>
      <c r="C302" s="8">
        <f>11.56+2.33+1.17</f>
        <v>15.06</v>
      </c>
      <c r="D302" s="8">
        <f>C302/465.4/12*1000</f>
        <v>2.696605070906747</v>
      </c>
      <c r="E302" s="1"/>
      <c r="F302" s="1"/>
      <c r="G302" s="1"/>
      <c r="H302" s="1"/>
    </row>
    <row r="303" spans="2:8" ht="12.75">
      <c r="B303" s="6" t="s">
        <v>46</v>
      </c>
      <c r="C303" s="8"/>
      <c r="D303" s="8">
        <f>C303/465.4/12*1000</f>
        <v>0</v>
      </c>
      <c r="E303" s="1"/>
      <c r="F303" s="1"/>
      <c r="G303" s="1"/>
      <c r="H303" s="1"/>
    </row>
    <row r="304" spans="2:8" ht="12.75">
      <c r="B304" s="8" t="s">
        <v>48</v>
      </c>
      <c r="C304" s="8">
        <v>1.06</v>
      </c>
      <c r="D304" s="8">
        <f>C304/465.4/12*1000</f>
        <v>0.18980088812491047</v>
      </c>
      <c r="E304" s="1"/>
      <c r="F304" s="1"/>
      <c r="G304" s="1"/>
      <c r="H304" s="1"/>
    </row>
    <row r="305" spans="2:8" ht="12.75">
      <c r="B305" s="8" t="s">
        <v>50</v>
      </c>
      <c r="C305" s="8">
        <v>0.12</v>
      </c>
      <c r="D305" s="8">
        <f>C305/465.4/12*1000</f>
        <v>0.021486892995272882</v>
      </c>
      <c r="E305" s="1"/>
      <c r="F305" s="1"/>
      <c r="G305" s="1"/>
      <c r="H305" s="1"/>
    </row>
    <row r="306" spans="2:8" ht="12.75">
      <c r="B306" s="14" t="s">
        <v>27</v>
      </c>
      <c r="C306" s="14">
        <f>6.94+1.09</f>
        <v>8.030000000000001</v>
      </c>
      <c r="D306" s="14">
        <f>C306/465.4/12*1000</f>
        <v>1.4378312562670108</v>
      </c>
      <c r="E306" s="1"/>
      <c r="F306" s="1"/>
      <c r="G306" s="1"/>
      <c r="H306" s="1"/>
    </row>
    <row r="307" spans="2:8" ht="12.75">
      <c r="B307" s="14"/>
      <c r="C307" s="14"/>
      <c r="D307" s="8"/>
      <c r="E307" s="1"/>
      <c r="F307" s="1"/>
      <c r="G307" s="1"/>
      <c r="H307" s="1"/>
    </row>
    <row r="308" spans="2:8" ht="12.75">
      <c r="B308" s="14" t="s">
        <v>29</v>
      </c>
      <c r="C308" s="14">
        <f>C296+C297+C301+C306+C307</f>
        <v>64.27000000000001</v>
      </c>
      <c r="D308" s="14">
        <f>D296+D297+D301+D306+D307</f>
        <v>11.5080217733849</v>
      </c>
      <c r="E308" s="1"/>
      <c r="F308" s="1"/>
      <c r="G308" s="1"/>
      <c r="H308" s="1"/>
    </row>
    <row r="309" spans="2:8" ht="12.75">
      <c r="B309" s="8" t="s">
        <v>51</v>
      </c>
      <c r="C309" s="8">
        <v>6.43</v>
      </c>
      <c r="D309" s="8">
        <f>C309/465.4/12*1000</f>
        <v>1.151339349663372</v>
      </c>
      <c r="E309" s="1"/>
      <c r="F309" s="1"/>
      <c r="G309" s="1"/>
      <c r="H309" s="1"/>
    </row>
    <row r="310" spans="2:8" ht="12.75">
      <c r="B310" s="14" t="s">
        <v>31</v>
      </c>
      <c r="C310" s="23">
        <f>C308+C309</f>
        <v>70.70000000000002</v>
      </c>
      <c r="D310" s="23">
        <f>D308+D309</f>
        <v>12.659361123048273</v>
      </c>
      <c r="E310" s="1"/>
      <c r="F310" s="1"/>
      <c r="G310" s="1"/>
      <c r="H310" s="1"/>
    </row>
    <row r="311" spans="2:8" ht="12.75">
      <c r="B311" s="6" t="s">
        <v>34</v>
      </c>
      <c r="C311" s="23">
        <f>C310/C295/12*1000</f>
        <v>12.65936112304828</v>
      </c>
      <c r="D311" s="8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 t="s">
        <v>52</v>
      </c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2" t="s">
        <v>0</v>
      </c>
      <c r="C315" s="2"/>
      <c r="D315" s="1"/>
      <c r="E315" s="1"/>
      <c r="F315" s="1"/>
      <c r="G315" s="1"/>
      <c r="H315" s="1"/>
    </row>
    <row r="316" spans="2:8" ht="12.75">
      <c r="B316" s="2" t="s">
        <v>65</v>
      </c>
      <c r="C316" s="2"/>
      <c r="D316" s="2"/>
      <c r="E316" s="1"/>
      <c r="F316" s="1"/>
      <c r="G316" s="1"/>
      <c r="H316" s="1"/>
    </row>
    <row r="317" spans="2:8" ht="12.75">
      <c r="B317" s="2" t="s">
        <v>71</v>
      </c>
      <c r="C317" s="2"/>
      <c r="D317" s="1"/>
      <c r="E317" s="1"/>
      <c r="F317" s="1"/>
      <c r="G317" s="1"/>
      <c r="H317" s="1"/>
    </row>
    <row r="318" spans="2:8" ht="12.75">
      <c r="B318" s="3"/>
      <c r="C318" s="3"/>
      <c r="D318" s="1"/>
      <c r="E318" s="1"/>
      <c r="F318" s="1"/>
      <c r="G318" s="1"/>
      <c r="H318" s="1"/>
    </row>
    <row r="319" spans="2:8" ht="12.75">
      <c r="B319" s="5" t="s">
        <v>4</v>
      </c>
      <c r="C319" s="31" t="s">
        <v>40</v>
      </c>
      <c r="D319" s="6" t="s">
        <v>41</v>
      </c>
      <c r="E319" s="1"/>
      <c r="F319" s="1"/>
      <c r="G319" s="1"/>
      <c r="H319" s="1"/>
    </row>
    <row r="320" spans="2:8" ht="12.75">
      <c r="B320" s="6"/>
      <c r="C320" s="6"/>
      <c r="D320" s="7"/>
      <c r="E320" s="1"/>
      <c r="F320" s="1"/>
      <c r="G320" s="1"/>
      <c r="H320" s="1"/>
    </row>
    <row r="321" spans="2:8" ht="12.75">
      <c r="B321" s="10" t="s">
        <v>42</v>
      </c>
      <c r="C321" s="8">
        <v>402.8</v>
      </c>
      <c r="D321" s="8"/>
      <c r="E321" s="1"/>
      <c r="F321" s="1"/>
      <c r="G321" s="1"/>
      <c r="H321" s="1"/>
    </row>
    <row r="322" spans="2:8" ht="12.75">
      <c r="B322" s="11" t="s">
        <v>13</v>
      </c>
      <c r="C322" s="30">
        <v>8.26</v>
      </c>
      <c r="D322" s="8">
        <f>C322/402.8/12*1000</f>
        <v>1.7088712346904997</v>
      </c>
      <c r="E322" s="1"/>
      <c r="F322" s="1"/>
      <c r="G322" s="1"/>
      <c r="H322" s="1"/>
    </row>
    <row r="323" spans="2:8" ht="12.75">
      <c r="B323" s="15" t="s">
        <v>14</v>
      </c>
      <c r="C323" s="9">
        <f>SUM(C324:C326)</f>
        <v>22.97</v>
      </c>
      <c r="D323" s="9">
        <f>SUM(D324:D326)</f>
        <v>4.752151605428666</v>
      </c>
      <c r="E323" s="1"/>
      <c r="F323" s="1"/>
      <c r="G323" s="1"/>
      <c r="H323" s="1"/>
    </row>
    <row r="324" spans="2:8" ht="12.75">
      <c r="B324" s="6" t="s">
        <v>43</v>
      </c>
      <c r="C324" s="8">
        <f>3.14+4.25</f>
        <v>7.390000000000001</v>
      </c>
      <c r="D324" s="8">
        <f>C324/402.8/12*1000</f>
        <v>1.5288811651770937</v>
      </c>
      <c r="E324" s="1"/>
      <c r="F324" s="1"/>
      <c r="G324" s="1"/>
      <c r="H324" s="1"/>
    </row>
    <row r="325" spans="2:8" ht="12.75">
      <c r="B325" s="17" t="s">
        <v>44</v>
      </c>
      <c r="C325" s="8">
        <v>3.56</v>
      </c>
      <c r="D325" s="8">
        <f>C325/402.8/12*1000</f>
        <v>0.736511089043363</v>
      </c>
      <c r="E325" s="1"/>
      <c r="F325" s="1"/>
      <c r="G325" s="1"/>
      <c r="H325" s="1"/>
    </row>
    <row r="326" spans="2:8" ht="12.75">
      <c r="B326" s="6" t="s">
        <v>16</v>
      </c>
      <c r="C326" s="8">
        <v>12.02</v>
      </c>
      <c r="D326" s="8">
        <f>C326/402.8/12*1000</f>
        <v>2.486759351208209</v>
      </c>
      <c r="E326" s="1"/>
      <c r="F326" s="1"/>
      <c r="G326" s="1"/>
      <c r="H326" s="1"/>
    </row>
    <row r="327" spans="2:8" ht="12.75">
      <c r="B327" s="10" t="s">
        <v>19</v>
      </c>
      <c r="C327" s="22">
        <f>SUM(C328:C332)</f>
        <v>17.45</v>
      </c>
      <c r="D327" s="22">
        <f>SUM(D328:D332)</f>
        <v>3.6101456471367093</v>
      </c>
      <c r="E327" s="1"/>
      <c r="F327" s="1"/>
      <c r="G327" s="1"/>
      <c r="H327" s="1"/>
    </row>
    <row r="328" spans="2:8" ht="12.75">
      <c r="B328" s="6" t="s">
        <v>45</v>
      </c>
      <c r="C328" s="8">
        <f>8.47+1.71+0.86</f>
        <v>11.04</v>
      </c>
      <c r="D328" s="8">
        <f>C328/402.8/12*1000</f>
        <v>2.2840119165839123</v>
      </c>
      <c r="E328" s="1"/>
      <c r="F328" s="1"/>
      <c r="G328" s="1"/>
      <c r="H328" s="1"/>
    </row>
    <row r="329" spans="2:8" ht="12.75">
      <c r="B329" s="6" t="s">
        <v>46</v>
      </c>
      <c r="C329" s="8"/>
      <c r="D329" s="8">
        <f>C329/402.8/12*1000</f>
        <v>0</v>
      </c>
      <c r="E329" s="1"/>
      <c r="F329" s="1"/>
      <c r="G329" s="1"/>
      <c r="H329" s="1"/>
    </row>
    <row r="330" spans="2:8" ht="12.75">
      <c r="B330" s="20" t="s">
        <v>72</v>
      </c>
      <c r="C330" s="8">
        <v>5.3</v>
      </c>
      <c r="D330" s="8">
        <f>C330/402.8/12*1000</f>
        <v>1.0964912280701753</v>
      </c>
      <c r="E330" s="1"/>
      <c r="F330" s="1"/>
      <c r="G330" s="1"/>
      <c r="H330" s="1"/>
    </row>
    <row r="331" spans="2:8" ht="12.75">
      <c r="B331" s="8" t="s">
        <v>48</v>
      </c>
      <c r="C331" s="8">
        <v>0.93</v>
      </c>
      <c r="D331" s="8">
        <f>C331/402.8/12*1000</f>
        <v>0.19240317775571003</v>
      </c>
      <c r="E331" s="1"/>
      <c r="F331" s="1"/>
      <c r="G331" s="1"/>
      <c r="H331" s="1"/>
    </row>
    <row r="332" spans="2:8" ht="12.75">
      <c r="B332" s="8" t="s">
        <v>50</v>
      </c>
      <c r="C332" s="8">
        <v>0.18</v>
      </c>
      <c r="D332" s="8">
        <f>C332/402.8/12*1000</f>
        <v>0.03723932472691161</v>
      </c>
      <c r="E332" s="1"/>
      <c r="F332" s="1"/>
      <c r="G332" s="1"/>
      <c r="H332" s="1"/>
    </row>
    <row r="333" spans="2:8" ht="12.75">
      <c r="B333" s="14" t="s">
        <v>27</v>
      </c>
      <c r="C333" s="14">
        <f>6.01+0.94</f>
        <v>6.95</v>
      </c>
      <c r="D333" s="8">
        <f>C333/402.8/12*1000</f>
        <v>1.4378517047335322</v>
      </c>
      <c r="E333" s="1"/>
      <c r="F333" s="1"/>
      <c r="G333" s="1"/>
      <c r="H333" s="1"/>
    </row>
    <row r="334" spans="2:8" ht="12.75">
      <c r="B334" s="14"/>
      <c r="C334" s="14"/>
      <c r="D334" s="8"/>
      <c r="E334" s="1"/>
      <c r="F334" s="1"/>
      <c r="G334" s="1"/>
      <c r="H334" s="1"/>
    </row>
    <row r="335" spans="2:8" ht="12.75">
      <c r="B335" s="14" t="s">
        <v>29</v>
      </c>
      <c r="C335" s="14">
        <f>C322+C323+C327+C333+C334</f>
        <v>55.629999999999995</v>
      </c>
      <c r="D335" s="14">
        <f>D322+D323+D327+D333+D334</f>
        <v>11.509020191989407</v>
      </c>
      <c r="E335" s="1"/>
      <c r="F335" s="1"/>
      <c r="G335" s="1"/>
      <c r="H335" s="1"/>
    </row>
    <row r="336" spans="2:8" ht="12.75">
      <c r="B336" s="8" t="s">
        <v>51</v>
      </c>
      <c r="C336" s="8">
        <v>5.56</v>
      </c>
      <c r="D336" s="8">
        <f>C336/402.8/12*1000</f>
        <v>1.1502813637868254</v>
      </c>
      <c r="E336" s="1"/>
      <c r="F336" s="1"/>
      <c r="G336" s="1"/>
      <c r="H336" s="1"/>
    </row>
    <row r="337" spans="2:8" ht="12.75">
      <c r="B337" s="14" t="s">
        <v>31</v>
      </c>
      <c r="C337" s="23">
        <f>C335+C336</f>
        <v>61.19</v>
      </c>
      <c r="D337" s="23">
        <f>D335+D336</f>
        <v>12.659301555776233</v>
      </c>
      <c r="E337" s="1"/>
      <c r="F337" s="1"/>
      <c r="G337" s="1"/>
      <c r="H337" s="1"/>
    </row>
    <row r="338" spans="2:8" ht="12.75">
      <c r="B338" s="6" t="s">
        <v>34</v>
      </c>
      <c r="C338" s="23">
        <f>C337/C321/12*1000</f>
        <v>12.659301555776233</v>
      </c>
      <c r="D338" s="8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 t="s">
        <v>52</v>
      </c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2" t="s">
        <v>0</v>
      </c>
      <c r="C342" s="2"/>
      <c r="D342" s="2"/>
      <c r="E342" s="1"/>
      <c r="F342" s="1"/>
      <c r="G342" s="1"/>
      <c r="H342" s="1"/>
    </row>
    <row r="343" spans="2:8" ht="12.75">
      <c r="B343" s="2" t="s">
        <v>65</v>
      </c>
      <c r="C343" s="2"/>
      <c r="D343" s="2"/>
      <c r="E343" s="1"/>
      <c r="F343" s="1"/>
      <c r="G343" s="1"/>
      <c r="H343" s="1"/>
    </row>
    <row r="344" spans="2:8" ht="12.75">
      <c r="B344" s="2" t="s">
        <v>73</v>
      </c>
      <c r="C344" s="2"/>
      <c r="D344" s="2"/>
      <c r="E344" s="1"/>
      <c r="F344" s="1"/>
      <c r="G344" s="1"/>
      <c r="H344" s="1"/>
    </row>
    <row r="345" spans="2:8" ht="12.75">
      <c r="B345" s="3"/>
      <c r="C345" s="3"/>
      <c r="D345" s="1"/>
      <c r="E345" s="1"/>
      <c r="F345" s="1"/>
      <c r="G345" s="1"/>
      <c r="H345" s="1"/>
    </row>
    <row r="346" spans="2:8" ht="12.75">
      <c r="B346" s="5" t="s">
        <v>4</v>
      </c>
      <c r="C346" s="31" t="s">
        <v>40</v>
      </c>
      <c r="D346" s="6" t="s">
        <v>41</v>
      </c>
      <c r="E346" s="1"/>
      <c r="F346" s="1"/>
      <c r="G346" s="1"/>
      <c r="H346" s="1"/>
    </row>
    <row r="347" spans="2:8" ht="12.75">
      <c r="B347" s="6"/>
      <c r="C347" s="6"/>
      <c r="D347" s="7"/>
      <c r="E347" s="1"/>
      <c r="F347" s="1"/>
      <c r="G347" s="1"/>
      <c r="H347" s="1"/>
    </row>
    <row r="348" spans="2:8" ht="12.75">
      <c r="B348" s="10" t="s">
        <v>42</v>
      </c>
      <c r="C348" s="8">
        <v>358.7</v>
      </c>
      <c r="D348" s="8"/>
      <c r="E348" s="1"/>
      <c r="F348" s="1"/>
      <c r="G348" s="1"/>
      <c r="H348" s="1"/>
    </row>
    <row r="349" spans="2:8" ht="12.75">
      <c r="B349" s="11" t="s">
        <v>13</v>
      </c>
      <c r="C349" s="30">
        <v>7.36</v>
      </c>
      <c r="D349" s="8">
        <f>C349/358.7/12*1000</f>
        <v>1.7098782641018495</v>
      </c>
      <c r="E349" s="1"/>
      <c r="F349" s="1"/>
      <c r="G349" s="1"/>
      <c r="H349" s="1"/>
    </row>
    <row r="350" spans="2:8" ht="12.75">
      <c r="B350" s="15" t="s">
        <v>14</v>
      </c>
      <c r="C350" s="14">
        <f>SUM(C351:C353)</f>
        <v>15.02</v>
      </c>
      <c r="D350" s="14">
        <f>SUM(D351:D353)</f>
        <v>3.4894526530991548</v>
      </c>
      <c r="E350" s="1"/>
      <c r="F350" s="1"/>
      <c r="G350" s="1"/>
      <c r="H350" s="1"/>
    </row>
    <row r="351" spans="2:8" ht="12.75">
      <c r="B351" s="6" t="s">
        <v>43</v>
      </c>
      <c r="C351" s="8">
        <f>2.8+3.79</f>
        <v>6.59</v>
      </c>
      <c r="D351" s="8">
        <f>C351/358.7/12*1000</f>
        <v>1.5309915435368462</v>
      </c>
      <c r="E351" s="1"/>
      <c r="F351" s="1"/>
      <c r="G351" s="1"/>
      <c r="H351" s="1"/>
    </row>
    <row r="352" spans="2:8" ht="12.75">
      <c r="B352" s="17" t="s">
        <v>44</v>
      </c>
      <c r="C352" s="8">
        <v>3.17</v>
      </c>
      <c r="D352" s="8">
        <f>C352/358.7/12*1000</f>
        <v>0.7364557197286499</v>
      </c>
      <c r="E352" s="1"/>
      <c r="F352" s="1"/>
      <c r="G352" s="1"/>
      <c r="H352" s="1"/>
    </row>
    <row r="353" spans="2:8" ht="12.75">
      <c r="B353" s="6" t="s">
        <v>16</v>
      </c>
      <c r="C353" s="8">
        <v>5.26</v>
      </c>
      <c r="D353" s="8">
        <f>C353/358.7/12*1000</f>
        <v>1.2220053898336587</v>
      </c>
      <c r="E353" s="1"/>
      <c r="F353" s="1"/>
      <c r="G353" s="1"/>
      <c r="H353" s="1"/>
    </row>
    <row r="354" spans="2:8" ht="12.75">
      <c r="B354" s="10" t="s">
        <v>19</v>
      </c>
      <c r="C354" s="22">
        <f>SUM(C355:C358)</f>
        <v>20.99</v>
      </c>
      <c r="D354" s="22">
        <f>SUM(D355:D358)</f>
        <v>4.876405538518725</v>
      </c>
      <c r="E354" s="1"/>
      <c r="F354" s="1"/>
      <c r="G354" s="1"/>
      <c r="H354" s="1"/>
    </row>
    <row r="355" spans="2:8" ht="12.75">
      <c r="B355" s="6" t="s">
        <v>45</v>
      </c>
      <c r="C355" s="8">
        <f>15.03+3.04+1.52</f>
        <v>19.59</v>
      </c>
      <c r="D355" s="8">
        <f>C355/358.7/12*1000</f>
        <v>4.551156955673264</v>
      </c>
      <c r="E355" s="1"/>
      <c r="F355" s="1"/>
      <c r="G355" s="1"/>
      <c r="H355" s="1"/>
    </row>
    <row r="356" spans="2:8" ht="12.75">
      <c r="B356" s="6" t="s">
        <v>46</v>
      </c>
      <c r="C356" s="8"/>
      <c r="D356" s="8">
        <f>C356/358.7/12*1000</f>
        <v>0</v>
      </c>
      <c r="E356" s="1"/>
      <c r="F356" s="1"/>
      <c r="G356" s="1"/>
      <c r="H356" s="1"/>
    </row>
    <row r="357" spans="2:8" ht="12.75">
      <c r="B357" s="8" t="s">
        <v>48</v>
      </c>
      <c r="C357" s="8">
        <v>1.06</v>
      </c>
      <c r="D357" s="8">
        <f>C357/358.7/12*1000</f>
        <v>0.24625964129727726</v>
      </c>
      <c r="E357" s="1"/>
      <c r="F357" s="1"/>
      <c r="G357" s="1"/>
      <c r="H357" s="1"/>
    </row>
    <row r="358" spans="2:8" ht="12.75">
      <c r="B358" s="8" t="s">
        <v>50</v>
      </c>
      <c r="C358" s="8">
        <v>0.34</v>
      </c>
      <c r="D358" s="8">
        <f>C358/358.7/12*1000</f>
        <v>0.07898894154818326</v>
      </c>
      <c r="E358" s="1"/>
      <c r="F358" s="1"/>
      <c r="G358" s="1"/>
      <c r="H358" s="1"/>
    </row>
    <row r="359" spans="2:8" ht="12.75">
      <c r="B359" s="14" t="s">
        <v>27</v>
      </c>
      <c r="C359" s="14">
        <f>5.35+0.84</f>
        <v>6.1899999999999995</v>
      </c>
      <c r="D359" s="8">
        <f>C359/358.7/12*1000</f>
        <v>1.4380633770095717</v>
      </c>
      <c r="E359" s="1"/>
      <c r="F359" s="1"/>
      <c r="G359" s="1"/>
      <c r="H359" s="1"/>
    </row>
    <row r="360" spans="2:8" ht="12.75">
      <c r="B360" s="14"/>
      <c r="C360" s="14"/>
      <c r="D360" s="8"/>
      <c r="E360" s="1"/>
      <c r="F360" s="1"/>
      <c r="G360" s="1"/>
      <c r="H360" s="1"/>
    </row>
    <row r="361" spans="2:8" ht="12.75">
      <c r="B361" s="14" t="s">
        <v>29</v>
      </c>
      <c r="C361" s="14">
        <f>C349+C350+C354+C359+C360</f>
        <v>49.559999999999995</v>
      </c>
      <c r="D361" s="14">
        <f>D349+D350+D354+D359+D360</f>
        <v>11.513799832729301</v>
      </c>
      <c r="E361" s="1"/>
      <c r="F361" s="1"/>
      <c r="G361" s="1"/>
      <c r="H361" s="1"/>
    </row>
    <row r="362" spans="2:8" ht="12.75">
      <c r="B362" s="8" t="s">
        <v>51</v>
      </c>
      <c r="C362" s="8">
        <v>4.95</v>
      </c>
      <c r="D362" s="8">
        <f>C362/358.7/12*1000</f>
        <v>1.149986060775021</v>
      </c>
      <c r="E362" s="1"/>
      <c r="F362" s="1"/>
      <c r="G362" s="1"/>
      <c r="H362" s="1"/>
    </row>
    <row r="363" spans="2:8" ht="12.75">
      <c r="B363" s="14" t="s">
        <v>31</v>
      </c>
      <c r="C363" s="23">
        <f>C361+C362</f>
        <v>54.51</v>
      </c>
      <c r="D363" s="23">
        <f>D361+D362</f>
        <v>12.663785893504322</v>
      </c>
      <c r="E363" s="1"/>
      <c r="F363" s="1"/>
      <c r="G363" s="1"/>
      <c r="H363" s="1"/>
    </row>
    <row r="364" spans="2:8" ht="12.75">
      <c r="B364" s="6" t="s">
        <v>34</v>
      </c>
      <c r="C364" s="23">
        <f>C363/C348/12*1000</f>
        <v>12.663785893504322</v>
      </c>
      <c r="D364" s="8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 t="s">
        <v>52</v>
      </c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2" t="s">
        <v>0</v>
      </c>
      <c r="C368" s="2"/>
      <c r="D368" s="2"/>
      <c r="E368" s="1"/>
      <c r="F368" s="1"/>
      <c r="G368" s="1"/>
      <c r="H368" s="1"/>
    </row>
    <row r="369" spans="2:8" ht="12.75">
      <c r="B369" s="2" t="s">
        <v>65</v>
      </c>
      <c r="C369" s="2"/>
      <c r="D369" s="2"/>
      <c r="E369" s="1"/>
      <c r="F369" s="1"/>
      <c r="G369" s="1"/>
      <c r="H369" s="1"/>
    </row>
    <row r="370" spans="2:8" ht="12.75">
      <c r="B370" s="2" t="s">
        <v>74</v>
      </c>
      <c r="C370" s="2"/>
      <c r="D370" s="2"/>
      <c r="E370" s="1"/>
      <c r="F370" s="1"/>
      <c r="G370" s="1"/>
      <c r="H370" s="1"/>
    </row>
    <row r="371" spans="2:8" ht="12.75">
      <c r="B371" s="3"/>
      <c r="C371" s="3"/>
      <c r="D371" s="1"/>
      <c r="E371" s="1"/>
      <c r="F371" s="1"/>
      <c r="G371" s="1"/>
      <c r="H371" s="1"/>
    </row>
    <row r="372" spans="2:8" ht="12.75">
      <c r="B372" s="5" t="s">
        <v>4</v>
      </c>
      <c r="C372" s="31" t="s">
        <v>40</v>
      </c>
      <c r="D372" s="6" t="s">
        <v>41</v>
      </c>
      <c r="E372" s="1"/>
      <c r="F372" s="1"/>
      <c r="G372" s="1"/>
      <c r="H372" s="1"/>
    </row>
    <row r="373" spans="2:8" ht="12.75">
      <c r="B373" s="6"/>
      <c r="C373" s="6"/>
      <c r="D373" s="7"/>
      <c r="E373" s="1"/>
      <c r="F373" s="1"/>
      <c r="G373" s="1"/>
      <c r="H373" s="1"/>
    </row>
    <row r="374" spans="2:8" ht="12.75">
      <c r="B374" s="10" t="s">
        <v>42</v>
      </c>
      <c r="C374" s="8">
        <v>373.1</v>
      </c>
      <c r="D374" s="8"/>
      <c r="E374" s="1"/>
      <c r="F374" s="1"/>
      <c r="G374" s="1"/>
      <c r="H374" s="1"/>
    </row>
    <row r="375" spans="2:8" ht="12.75">
      <c r="B375" s="11" t="s">
        <v>13</v>
      </c>
      <c r="C375" s="30">
        <v>7.65</v>
      </c>
      <c r="D375" s="8">
        <f>C375/373.1/12*1000</f>
        <v>1.7086571964620747</v>
      </c>
      <c r="E375" s="1"/>
      <c r="F375" s="1"/>
      <c r="G375" s="1"/>
      <c r="H375" s="1"/>
    </row>
    <row r="376" spans="2:8" ht="12.75">
      <c r="B376" s="15" t="s">
        <v>14</v>
      </c>
      <c r="C376" s="14">
        <f>SUM(C377:C379)</f>
        <v>17.799999999999997</v>
      </c>
      <c r="D376" s="14">
        <f>SUM(D377:D379)</f>
        <v>3.975699097650317</v>
      </c>
      <c r="E376" s="1"/>
      <c r="F376" s="1"/>
      <c r="G376" s="1"/>
      <c r="H376" s="1"/>
    </row>
    <row r="377" spans="2:8" ht="12.75">
      <c r="B377" s="6" t="s">
        <v>43</v>
      </c>
      <c r="C377" s="8">
        <f>2.91+3.94</f>
        <v>6.85</v>
      </c>
      <c r="D377" s="8">
        <f>C377/373.1/12*1000</f>
        <v>1.5299740909497006</v>
      </c>
      <c r="E377" s="1"/>
      <c r="F377" s="1"/>
      <c r="G377" s="1"/>
      <c r="H377" s="1"/>
    </row>
    <row r="378" spans="2:8" ht="12.75">
      <c r="B378" s="17" t="s">
        <v>44</v>
      </c>
      <c r="C378" s="8">
        <v>3.3</v>
      </c>
      <c r="D378" s="8">
        <f>C378/373.1/12*1000</f>
        <v>0.7370678102385418</v>
      </c>
      <c r="E378" s="1"/>
      <c r="F378" s="1"/>
      <c r="G378" s="1"/>
      <c r="H378" s="1"/>
    </row>
    <row r="379" spans="2:8" ht="12.75">
      <c r="B379" s="6" t="s">
        <v>16</v>
      </c>
      <c r="C379" s="8">
        <v>7.65</v>
      </c>
      <c r="D379" s="8">
        <f>C379/373.1/12*1000</f>
        <v>1.7086571964620747</v>
      </c>
      <c r="E379" s="1"/>
      <c r="F379" s="1"/>
      <c r="G379" s="1"/>
      <c r="H379" s="1"/>
    </row>
    <row r="380" spans="2:8" ht="12.75">
      <c r="B380" s="10" t="s">
        <v>19</v>
      </c>
      <c r="C380" s="22">
        <f>SUM(C381:C384)</f>
        <v>19.640000000000004</v>
      </c>
      <c r="D380" s="22">
        <f>SUM(D381:D384)</f>
        <v>4.386670240328778</v>
      </c>
      <c r="E380" s="1"/>
      <c r="F380" s="1"/>
      <c r="G380" s="1"/>
      <c r="H380" s="1"/>
    </row>
    <row r="381" spans="2:8" ht="12.75">
      <c r="B381" s="6" t="s">
        <v>45</v>
      </c>
      <c r="C381" s="8">
        <f>14.08+2.84+1.42</f>
        <v>18.340000000000003</v>
      </c>
      <c r="D381" s="8">
        <f>C381/373.1/12*1000</f>
        <v>4.096310193871171</v>
      </c>
      <c r="E381" s="1"/>
      <c r="F381" s="1"/>
      <c r="G381" s="1"/>
      <c r="H381" s="1"/>
    </row>
    <row r="382" spans="2:8" ht="12.75">
      <c r="B382" s="6" t="s">
        <v>46</v>
      </c>
      <c r="C382" s="8"/>
      <c r="D382" s="8">
        <f>C382/373.1/12*1000</f>
        <v>0</v>
      </c>
      <c r="E382" s="1"/>
      <c r="F382" s="1"/>
      <c r="G382" s="1"/>
      <c r="H382" s="1"/>
    </row>
    <row r="383" spans="2:8" ht="12.75">
      <c r="B383" s="8" t="s">
        <v>48</v>
      </c>
      <c r="C383" s="8">
        <v>1.06</v>
      </c>
      <c r="D383" s="8">
        <f>C383/373.1/12*1000</f>
        <v>0.2367551148038953</v>
      </c>
      <c r="E383" s="1"/>
      <c r="F383" s="1"/>
      <c r="G383" s="1"/>
      <c r="H383" s="1"/>
    </row>
    <row r="384" spans="2:8" ht="12.75">
      <c r="B384" s="8" t="s">
        <v>50</v>
      </c>
      <c r="C384" s="8">
        <v>0.24</v>
      </c>
      <c r="D384" s="8">
        <f>C384/373.1/12*1000</f>
        <v>0.053604931653712135</v>
      </c>
      <c r="E384" s="1"/>
      <c r="F384" s="1"/>
      <c r="G384" s="1"/>
      <c r="H384" s="1"/>
    </row>
    <row r="385" spans="2:8" ht="12.75">
      <c r="B385" s="14" t="s">
        <v>27</v>
      </c>
      <c r="C385" s="14">
        <f>5.57+0.87</f>
        <v>6.44</v>
      </c>
      <c r="D385" s="14">
        <f>C385/373.1/12*1000</f>
        <v>1.4383989993746094</v>
      </c>
      <c r="E385" s="1"/>
      <c r="F385" s="1"/>
      <c r="G385" s="1"/>
      <c r="H385" s="1"/>
    </row>
    <row r="386" spans="2:8" ht="12.75">
      <c r="B386" s="14"/>
      <c r="C386" s="14"/>
      <c r="D386" s="8"/>
      <c r="E386" s="1"/>
      <c r="F386" s="1"/>
      <c r="G386" s="1"/>
      <c r="H386" s="1"/>
    </row>
    <row r="387" spans="2:8" ht="12.75">
      <c r="B387" s="14" t="s">
        <v>29</v>
      </c>
      <c r="C387" s="14">
        <f>C375+C376+C380+C385+C386</f>
        <v>51.53</v>
      </c>
      <c r="D387" s="14">
        <f>D375+D376+D380+D385+D386</f>
        <v>11.50942553381578</v>
      </c>
      <c r="E387" s="1"/>
      <c r="F387" s="1"/>
      <c r="G387" s="1"/>
      <c r="H387" s="1"/>
    </row>
    <row r="388" spans="2:8" ht="12.75">
      <c r="B388" s="8" t="s">
        <v>51</v>
      </c>
      <c r="C388" s="8">
        <v>5.15</v>
      </c>
      <c r="D388" s="8">
        <f>C388/373.1/12*1000</f>
        <v>1.1502724917359064</v>
      </c>
      <c r="E388" s="1"/>
      <c r="F388" s="1"/>
      <c r="G388" s="1"/>
      <c r="H388" s="1"/>
    </row>
    <row r="389" spans="2:8" ht="12.75">
      <c r="B389" s="14" t="s">
        <v>31</v>
      </c>
      <c r="C389" s="23">
        <f>C387+C388</f>
        <v>56.68</v>
      </c>
      <c r="D389" s="23">
        <f>D387+D388</f>
        <v>12.659698025551686</v>
      </c>
      <c r="E389" s="1"/>
      <c r="F389" s="1"/>
      <c r="G389" s="1"/>
      <c r="H389" s="1"/>
    </row>
    <row r="390" spans="2:8" ht="12.75">
      <c r="B390" s="6" t="s">
        <v>34</v>
      </c>
      <c r="C390" s="23">
        <f>C389/C374/12*1000</f>
        <v>12.659698025551682</v>
      </c>
      <c r="D390" s="8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 t="s">
        <v>52</v>
      </c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2" t="s">
        <v>0</v>
      </c>
      <c r="C394" s="2"/>
      <c r="D394" s="2"/>
      <c r="E394" s="1"/>
      <c r="F394" s="1"/>
      <c r="G394" s="1"/>
      <c r="H394" s="1"/>
    </row>
    <row r="395" spans="2:8" ht="12.75">
      <c r="B395" s="2" t="s">
        <v>65</v>
      </c>
      <c r="C395" s="2"/>
      <c r="D395" s="2"/>
      <c r="E395" s="1"/>
      <c r="F395" s="1"/>
      <c r="G395" s="1"/>
      <c r="H395" s="1"/>
    </row>
    <row r="396" spans="2:8" ht="12.75">
      <c r="B396" s="2" t="s">
        <v>75</v>
      </c>
      <c r="C396" s="2"/>
      <c r="D396" s="2"/>
      <c r="E396" s="1"/>
      <c r="F396" s="1"/>
      <c r="G396" s="1"/>
      <c r="H396" s="1"/>
    </row>
    <row r="397" spans="2:8" ht="12.75">
      <c r="B397" s="3"/>
      <c r="C397" s="3"/>
      <c r="D397" s="1"/>
      <c r="E397" s="1"/>
      <c r="F397" s="1"/>
      <c r="G397" s="1"/>
      <c r="H397" s="1"/>
    </row>
    <row r="398" spans="2:8" ht="12.75">
      <c r="B398" s="5" t="s">
        <v>4</v>
      </c>
      <c r="C398" s="31" t="s">
        <v>40</v>
      </c>
      <c r="D398" s="6" t="s">
        <v>41</v>
      </c>
      <c r="E398" s="1"/>
      <c r="F398" s="1"/>
      <c r="G398" s="1"/>
      <c r="H398" s="1"/>
    </row>
    <row r="399" spans="2:8" ht="12.75">
      <c r="B399" s="6"/>
      <c r="C399" s="6"/>
      <c r="D399" s="7"/>
      <c r="E399" s="1"/>
      <c r="F399" s="1"/>
      <c r="G399" s="1"/>
      <c r="H399" s="1"/>
    </row>
    <row r="400" spans="2:8" ht="12.75">
      <c r="B400" s="10" t="s">
        <v>42</v>
      </c>
      <c r="C400" s="8">
        <v>845.5</v>
      </c>
      <c r="D400" s="8"/>
      <c r="E400" s="1"/>
      <c r="F400" s="1"/>
      <c r="G400" s="1"/>
      <c r="H400" s="1"/>
    </row>
    <row r="401" spans="2:8" ht="12.75">
      <c r="B401" s="11" t="s">
        <v>13</v>
      </c>
      <c r="C401" s="30">
        <v>17.34</v>
      </c>
      <c r="D401" s="8">
        <f>C401/845.5/12*1000</f>
        <v>1.7090479006505028</v>
      </c>
      <c r="E401" s="1"/>
      <c r="F401" s="1"/>
      <c r="G401" s="1"/>
      <c r="H401" s="1"/>
    </row>
    <row r="402" spans="2:8" ht="12.75">
      <c r="B402" s="15" t="s">
        <v>14</v>
      </c>
      <c r="C402" s="9">
        <f>SUM(C403:C405)</f>
        <v>26.6</v>
      </c>
      <c r="D402" s="9">
        <f>SUM(D403:D405)</f>
        <v>2.6217228464419473</v>
      </c>
      <c r="E402" s="1"/>
      <c r="F402" s="1"/>
      <c r="G402" s="1"/>
      <c r="H402" s="1"/>
    </row>
    <row r="403" spans="2:8" ht="12.75">
      <c r="B403" s="6" t="s">
        <v>43</v>
      </c>
      <c r="C403" s="8">
        <f>6.6+8.93</f>
        <v>15.53</v>
      </c>
      <c r="D403" s="8">
        <f>C403/845.5/12*1000</f>
        <v>1.5306524738813323</v>
      </c>
      <c r="E403" s="1"/>
      <c r="F403" s="1"/>
      <c r="G403" s="1"/>
      <c r="H403" s="1"/>
    </row>
    <row r="404" spans="2:8" ht="12.75">
      <c r="B404" s="17" t="s">
        <v>44</v>
      </c>
      <c r="C404" s="8">
        <v>7.47</v>
      </c>
      <c r="D404" s="8">
        <f>C404/845.5/12*1000</f>
        <v>0.7362507392075696</v>
      </c>
      <c r="E404" s="1"/>
      <c r="F404" s="1"/>
      <c r="G404" s="1"/>
      <c r="H404" s="1"/>
    </row>
    <row r="405" spans="2:8" ht="12.75">
      <c r="B405" s="6" t="s">
        <v>16</v>
      </c>
      <c r="C405" s="8">
        <v>3.6</v>
      </c>
      <c r="D405" s="8">
        <f>C405/845.5/12*1000</f>
        <v>0.35481963335304556</v>
      </c>
      <c r="E405" s="1"/>
      <c r="F405" s="1"/>
      <c r="G405" s="1"/>
      <c r="H405" s="1"/>
    </row>
    <row r="406" spans="2:8" ht="12.75">
      <c r="B406" s="10" t="s">
        <v>19</v>
      </c>
      <c r="C406" s="22">
        <f>SUM(C407:C411)</f>
        <v>58.25</v>
      </c>
      <c r="D406" s="22">
        <f>SUM(D407:D411)</f>
        <v>5.741178789670806</v>
      </c>
      <c r="E406" s="1"/>
      <c r="F406" s="1"/>
      <c r="G406" s="1"/>
      <c r="H406" s="1"/>
    </row>
    <row r="407" spans="2:8" ht="12.75">
      <c r="B407" s="6" t="s">
        <v>45</v>
      </c>
      <c r="C407" s="8">
        <f>41.22+8.33+4.17</f>
        <v>53.72</v>
      </c>
      <c r="D407" s="8">
        <f>C407/845.5/12*1000</f>
        <v>5.294697417701557</v>
      </c>
      <c r="E407" s="1"/>
      <c r="F407" s="1"/>
      <c r="G407" s="1"/>
      <c r="H407" s="1"/>
    </row>
    <row r="408" spans="2:8" ht="12.75">
      <c r="B408" s="6" t="s">
        <v>46</v>
      </c>
      <c r="C408" s="8"/>
      <c r="D408" s="8">
        <f>C408/845.5/12*1000</f>
        <v>0</v>
      </c>
      <c r="E408" s="1"/>
      <c r="F408" s="1"/>
      <c r="G408" s="1"/>
      <c r="H408" s="1"/>
    </row>
    <row r="409" spans="2:8" ht="12.75">
      <c r="B409" s="20" t="s">
        <v>47</v>
      </c>
      <c r="C409" s="8">
        <v>1.37</v>
      </c>
      <c r="D409" s="8">
        <f>C409/845.5/12*1000</f>
        <v>0.13502858269268678</v>
      </c>
      <c r="E409" s="1"/>
      <c r="F409" s="1"/>
      <c r="G409" s="1"/>
      <c r="H409" s="1"/>
    </row>
    <row r="410" spans="2:8" ht="12.75">
      <c r="B410" s="8" t="s">
        <v>48</v>
      </c>
      <c r="C410" s="8">
        <v>2.39</v>
      </c>
      <c r="D410" s="8">
        <f>C410/845.5/12*1000</f>
        <v>0.23556081214271635</v>
      </c>
      <c r="E410" s="1"/>
      <c r="F410" s="1"/>
      <c r="G410" s="1"/>
      <c r="H410" s="1"/>
    </row>
    <row r="411" spans="2:8" ht="12.75">
      <c r="B411" s="8" t="s">
        <v>50</v>
      </c>
      <c r="C411" s="8">
        <v>0.77</v>
      </c>
      <c r="D411" s="8">
        <f>C411/845.5/12*1000</f>
        <v>0.07589197713384585</v>
      </c>
      <c r="E411" s="1"/>
      <c r="F411" s="1"/>
      <c r="G411" s="1"/>
      <c r="H411" s="1"/>
    </row>
    <row r="412" spans="2:8" ht="12.75">
      <c r="B412" s="14" t="s">
        <v>27</v>
      </c>
      <c r="C412" s="14">
        <f>12.61+1.97</f>
        <v>14.58</v>
      </c>
      <c r="D412" s="8">
        <f>C412/845.5/12*1000</f>
        <v>1.4370195150798344</v>
      </c>
      <c r="E412" s="1"/>
      <c r="F412" s="1"/>
      <c r="G412" s="1"/>
      <c r="H412" s="1"/>
    </row>
    <row r="413" spans="2:8" ht="12.75">
      <c r="B413" s="14"/>
      <c r="C413" s="14"/>
      <c r="D413" s="8"/>
      <c r="E413" s="1"/>
      <c r="F413" s="1"/>
      <c r="G413" s="1"/>
      <c r="H413" s="1"/>
    </row>
    <row r="414" spans="2:8" ht="12.75">
      <c r="B414" s="14" t="s">
        <v>29</v>
      </c>
      <c r="C414" s="14">
        <f>C401+C402+C406+C412+C413</f>
        <v>116.77</v>
      </c>
      <c r="D414" s="14">
        <f>D401+D402+D406+D412+D413</f>
        <v>11.50896905184309</v>
      </c>
      <c r="E414" s="1"/>
      <c r="F414" s="1"/>
      <c r="G414" s="1"/>
      <c r="H414" s="1"/>
    </row>
    <row r="415" spans="2:8" ht="12.75">
      <c r="B415" s="8" t="s">
        <v>51</v>
      </c>
      <c r="C415" s="8">
        <v>11.68</v>
      </c>
      <c r="D415" s="8">
        <f>C415/845.5/12*1000</f>
        <v>1.1511925882121032</v>
      </c>
      <c r="E415" s="1"/>
      <c r="F415" s="1"/>
      <c r="G415" s="1"/>
      <c r="H415" s="1"/>
    </row>
    <row r="416" spans="2:8" ht="12.75">
      <c r="B416" s="14" t="s">
        <v>31</v>
      </c>
      <c r="C416" s="23">
        <f>C414+C415</f>
        <v>128.45</v>
      </c>
      <c r="D416" s="23">
        <f>D414+D415</f>
        <v>12.660161640055193</v>
      </c>
      <c r="E416" s="1"/>
      <c r="F416" s="1"/>
      <c r="G416" s="1"/>
      <c r="H416" s="1"/>
    </row>
    <row r="417" spans="2:8" ht="12.75">
      <c r="B417" s="6" t="s">
        <v>34</v>
      </c>
      <c r="C417" s="23">
        <f>C416/C400/12*1000</f>
        <v>12.660161640055193</v>
      </c>
      <c r="D417" s="8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 t="s">
        <v>52</v>
      </c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2" t="s">
        <v>0</v>
      </c>
      <c r="C421" s="2"/>
      <c r="D421" s="2"/>
      <c r="E421" s="1"/>
      <c r="F421" s="1"/>
      <c r="G421" s="1"/>
      <c r="H421" s="1"/>
    </row>
    <row r="422" spans="2:8" ht="12.75">
      <c r="B422" s="2" t="s">
        <v>65</v>
      </c>
      <c r="C422" s="2"/>
      <c r="D422" s="2"/>
      <c r="E422" s="1"/>
      <c r="F422" s="1"/>
      <c r="G422" s="1"/>
      <c r="H422" s="1"/>
    </row>
    <row r="423" spans="2:8" ht="12.75">
      <c r="B423" s="2" t="s">
        <v>76</v>
      </c>
      <c r="C423" s="2"/>
      <c r="D423" s="2"/>
      <c r="E423" s="1"/>
      <c r="F423" s="1"/>
      <c r="G423" s="1"/>
      <c r="H423" s="1"/>
    </row>
    <row r="424" spans="2:8" ht="12.75">
      <c r="B424" s="3"/>
      <c r="C424" s="3"/>
      <c r="D424" s="1"/>
      <c r="E424" s="1"/>
      <c r="F424" s="1"/>
      <c r="G424" s="1"/>
      <c r="H424" s="1"/>
    </row>
    <row r="425" spans="2:8" ht="12.75">
      <c r="B425" s="5" t="s">
        <v>4</v>
      </c>
      <c r="C425" s="31" t="s">
        <v>40</v>
      </c>
      <c r="D425" s="6" t="s">
        <v>41</v>
      </c>
      <c r="E425" s="1"/>
      <c r="F425" s="1"/>
      <c r="G425" s="1"/>
      <c r="H425" s="1"/>
    </row>
    <row r="426" spans="2:8" ht="12.75">
      <c r="B426" s="6"/>
      <c r="C426" s="6"/>
      <c r="D426" s="7"/>
      <c r="E426" s="1"/>
      <c r="F426" s="1"/>
      <c r="G426" s="1"/>
      <c r="H426" s="1"/>
    </row>
    <row r="427" spans="2:8" ht="12.75">
      <c r="B427" s="10" t="s">
        <v>42</v>
      </c>
      <c r="C427" s="8">
        <v>2151</v>
      </c>
      <c r="D427" s="8"/>
      <c r="E427" s="1"/>
      <c r="F427" s="1"/>
      <c r="G427" s="1"/>
      <c r="H427" s="1"/>
    </row>
    <row r="428" spans="2:8" ht="12.75">
      <c r="B428" s="11" t="s">
        <v>13</v>
      </c>
      <c r="C428" s="30">
        <v>44.12</v>
      </c>
      <c r="D428" s="8">
        <f>C428/2151/12*1000</f>
        <v>1.7092825042615836</v>
      </c>
      <c r="E428" s="1"/>
      <c r="F428" s="1"/>
      <c r="G428" s="1"/>
      <c r="H428" s="1"/>
    </row>
    <row r="429" spans="2:8" ht="12.75">
      <c r="B429" s="15" t="s">
        <v>14</v>
      </c>
      <c r="C429" s="9">
        <f>SUM(C430:C432)</f>
        <v>138.13</v>
      </c>
      <c r="D429" s="9">
        <f>SUM(D430:D432)</f>
        <v>5.351386951805361</v>
      </c>
      <c r="E429" s="1"/>
      <c r="F429" s="1"/>
      <c r="G429" s="1"/>
      <c r="H429" s="1"/>
    </row>
    <row r="430" spans="2:8" ht="12.75">
      <c r="B430" s="6" t="s">
        <v>43</v>
      </c>
      <c r="C430" s="8">
        <f>16.78+22.71</f>
        <v>39.49</v>
      </c>
      <c r="D430" s="8">
        <f>C430/2151/12*1000</f>
        <v>1.5299085696575236</v>
      </c>
      <c r="E430" s="1"/>
      <c r="F430" s="1"/>
      <c r="G430" s="1"/>
      <c r="H430" s="1"/>
    </row>
    <row r="431" spans="2:8" ht="12.75">
      <c r="B431" s="17" t="s">
        <v>44</v>
      </c>
      <c r="C431" s="8">
        <v>19</v>
      </c>
      <c r="D431" s="8">
        <f>C431/2151/12*1000</f>
        <v>0.7360917402758407</v>
      </c>
      <c r="E431" s="1"/>
      <c r="F431" s="1"/>
      <c r="G431" s="1"/>
      <c r="H431" s="1"/>
    </row>
    <row r="432" spans="2:8" ht="12.75">
      <c r="B432" s="6" t="s">
        <v>16</v>
      </c>
      <c r="C432" s="8">
        <v>79.64</v>
      </c>
      <c r="D432" s="8">
        <f>C432/2151/12*1000</f>
        <v>3.0853866418719975</v>
      </c>
      <c r="E432" s="1"/>
      <c r="F432" s="1"/>
      <c r="G432" s="1"/>
      <c r="H432" s="1"/>
    </row>
    <row r="433" spans="2:8" ht="12.75">
      <c r="B433" s="10" t="s">
        <v>19</v>
      </c>
      <c r="C433" s="22">
        <f>SUM(C434:C438)</f>
        <v>77.71000000000001</v>
      </c>
      <c r="D433" s="22">
        <f>SUM(D434:D438)</f>
        <v>3.0106152177281884</v>
      </c>
      <c r="E433" s="1"/>
      <c r="F433" s="1"/>
      <c r="G433" s="1"/>
      <c r="H433" s="1"/>
    </row>
    <row r="434" spans="2:8" ht="12.75">
      <c r="B434" s="6" t="s">
        <v>45</v>
      </c>
      <c r="C434" s="8">
        <f>53.36+10.78+5.4</f>
        <v>69.54</v>
      </c>
      <c r="D434" s="8">
        <f>C434/2151/12*1000</f>
        <v>2.694095769409577</v>
      </c>
      <c r="E434" s="1"/>
      <c r="F434" s="1"/>
      <c r="G434" s="1"/>
      <c r="H434" s="1"/>
    </row>
    <row r="435" spans="2:8" ht="12.75">
      <c r="B435" s="6" t="s">
        <v>46</v>
      </c>
      <c r="C435" s="8"/>
      <c r="D435" s="8">
        <f>C435/2151/12*1000</f>
        <v>0</v>
      </c>
      <c r="E435" s="1"/>
      <c r="F435" s="1"/>
      <c r="G435" s="1"/>
      <c r="H435" s="1"/>
    </row>
    <row r="436" spans="2:8" ht="12.75">
      <c r="B436" s="20" t="s">
        <v>47</v>
      </c>
      <c r="C436" s="8">
        <v>1.44</v>
      </c>
      <c r="D436" s="8">
        <f>C436/2151/12*1000</f>
        <v>0.05578800557880055</v>
      </c>
      <c r="E436" s="1"/>
      <c r="F436" s="1"/>
      <c r="G436" s="1"/>
      <c r="H436" s="1"/>
    </row>
    <row r="437" spans="2:8" ht="12.75">
      <c r="B437" s="8" t="s">
        <v>48</v>
      </c>
      <c r="C437" s="8">
        <v>5.31</v>
      </c>
      <c r="D437" s="8">
        <f>C437/2151/12*1000</f>
        <v>0.20571827057182704</v>
      </c>
      <c r="E437" s="1"/>
      <c r="F437" s="1"/>
      <c r="G437" s="1"/>
      <c r="H437" s="1"/>
    </row>
    <row r="438" spans="2:8" ht="12.75">
      <c r="B438" s="8" t="s">
        <v>50</v>
      </c>
      <c r="C438" s="8">
        <v>1.42</v>
      </c>
      <c r="D438" s="8">
        <f>C438/2151/12*1000</f>
        <v>0.05501317216798388</v>
      </c>
      <c r="E438" s="1"/>
      <c r="F438" s="1"/>
      <c r="G438" s="1"/>
      <c r="H438" s="1"/>
    </row>
    <row r="439" spans="2:8" ht="12.75">
      <c r="B439" s="14" t="s">
        <v>27</v>
      </c>
      <c r="C439" s="14">
        <f>32.09+5.02</f>
        <v>37.11</v>
      </c>
      <c r="D439" s="14">
        <f>C439/2151/12*1000</f>
        <v>1.4377033937703394</v>
      </c>
      <c r="E439" s="1"/>
      <c r="F439" s="1"/>
      <c r="G439" s="1"/>
      <c r="H439" s="1"/>
    </row>
    <row r="440" spans="2:8" ht="12.75">
      <c r="B440" s="14"/>
      <c r="C440" s="14"/>
      <c r="D440" s="8"/>
      <c r="E440" s="1"/>
      <c r="F440" s="1"/>
      <c r="G440" s="1"/>
      <c r="H440" s="1"/>
    </row>
    <row r="441" spans="2:8" ht="12.75">
      <c r="B441" s="14" t="s">
        <v>29</v>
      </c>
      <c r="C441" s="14">
        <f>C428+C429+C433+C439+C440</f>
        <v>297.07000000000005</v>
      </c>
      <c r="D441" s="14">
        <f>D428+D429+D433+D439+D440</f>
        <v>11.508988067565474</v>
      </c>
      <c r="E441" s="1"/>
      <c r="F441" s="1"/>
      <c r="G441" s="1"/>
      <c r="H441" s="1"/>
    </row>
    <row r="442" spans="2:8" ht="12.75">
      <c r="B442" s="8" t="s">
        <v>51</v>
      </c>
      <c r="C442" s="8">
        <v>29.7</v>
      </c>
      <c r="D442" s="8">
        <f>C442/2151/12*1000</f>
        <v>1.1506276150627612</v>
      </c>
      <c r="E442" s="1"/>
      <c r="F442" s="1"/>
      <c r="G442" s="1"/>
      <c r="H442" s="1"/>
    </row>
    <row r="443" spans="2:8" ht="12.75">
      <c r="B443" s="14" t="s">
        <v>31</v>
      </c>
      <c r="C443" s="23">
        <f>C441+C442</f>
        <v>326.77000000000004</v>
      </c>
      <c r="D443" s="23">
        <f>D441+D442</f>
        <v>12.659615682628235</v>
      </c>
      <c r="E443" s="1"/>
      <c r="F443" s="1"/>
      <c r="G443" s="1"/>
      <c r="H443" s="1"/>
    </row>
    <row r="444" spans="2:8" ht="12.75">
      <c r="B444" s="6" t="s">
        <v>34</v>
      </c>
      <c r="C444" s="23">
        <f>C443/C427/12*1000</f>
        <v>12.659615682628235</v>
      </c>
      <c r="D444" s="8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 t="s">
        <v>52</v>
      </c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2" t="s">
        <v>0</v>
      </c>
      <c r="C448" s="2"/>
      <c r="D448" s="2"/>
      <c r="E448" s="1"/>
      <c r="F448" s="1"/>
      <c r="G448" s="1"/>
      <c r="H448" s="1"/>
    </row>
    <row r="449" spans="2:8" ht="12.75">
      <c r="B449" s="2" t="s">
        <v>65</v>
      </c>
      <c r="C449" s="2"/>
      <c r="D449" s="2"/>
      <c r="E449" s="1"/>
      <c r="F449" s="1"/>
      <c r="G449" s="1"/>
      <c r="H449" s="1"/>
    </row>
    <row r="450" spans="2:8" ht="12.75">
      <c r="B450" s="2" t="s">
        <v>77</v>
      </c>
      <c r="C450" s="2"/>
      <c r="D450" s="2"/>
      <c r="E450" s="1"/>
      <c r="F450" s="1"/>
      <c r="G450" s="1"/>
      <c r="H450" s="1"/>
    </row>
    <row r="451" spans="2:8" ht="12.75">
      <c r="B451" s="3"/>
      <c r="C451" s="3"/>
      <c r="D451" s="1"/>
      <c r="E451" s="1"/>
      <c r="F451" s="1"/>
      <c r="G451" s="1"/>
      <c r="H451" s="1"/>
    </row>
    <row r="452" spans="2:8" ht="12.75">
      <c r="B452" s="5" t="s">
        <v>4</v>
      </c>
      <c r="C452" s="31" t="s">
        <v>40</v>
      </c>
      <c r="D452" s="6" t="s">
        <v>41</v>
      </c>
      <c r="E452" s="1"/>
      <c r="F452" s="1"/>
      <c r="G452" s="1"/>
      <c r="H452" s="1"/>
    </row>
    <row r="453" spans="2:8" ht="12.75">
      <c r="B453" s="6"/>
      <c r="C453" s="6"/>
      <c r="D453" s="7"/>
      <c r="E453" s="1"/>
      <c r="F453" s="1"/>
      <c r="G453" s="1"/>
      <c r="H453" s="1"/>
    </row>
    <row r="454" spans="2:8" ht="12.75">
      <c r="B454" s="10" t="s">
        <v>42</v>
      </c>
      <c r="C454" s="8">
        <v>2143.1</v>
      </c>
      <c r="D454" s="8"/>
      <c r="E454" s="1"/>
      <c r="F454" s="1"/>
      <c r="G454" s="1"/>
      <c r="H454" s="1"/>
    </row>
    <row r="455" spans="2:8" ht="12.75">
      <c r="B455" s="11" t="s">
        <v>13</v>
      </c>
      <c r="C455" s="30">
        <v>43.95</v>
      </c>
      <c r="D455" s="8">
        <f>C455/2143.1/12*1000</f>
        <v>1.7089729830619198</v>
      </c>
      <c r="E455" s="1"/>
      <c r="F455" s="1"/>
      <c r="G455" s="1"/>
      <c r="H455" s="1"/>
    </row>
    <row r="456" spans="2:8" ht="12.75">
      <c r="B456" s="15" t="s">
        <v>14</v>
      </c>
      <c r="C456" s="9">
        <f>SUM(C457:C459)</f>
        <v>137.57</v>
      </c>
      <c r="D456" s="9">
        <f>SUM(D457:D459)</f>
        <v>5.349338186116684</v>
      </c>
      <c r="E456" s="1"/>
      <c r="F456" s="1"/>
      <c r="G456" s="1"/>
      <c r="H456" s="1"/>
    </row>
    <row r="457" spans="2:8" ht="12.75">
      <c r="B457" s="6" t="s">
        <v>43</v>
      </c>
      <c r="C457" s="8">
        <f>16.72+22.63</f>
        <v>39.349999999999994</v>
      </c>
      <c r="D457" s="8">
        <f>C457/2143.1/12*1000</f>
        <v>1.5301043659496367</v>
      </c>
      <c r="E457" s="1"/>
      <c r="F457" s="1"/>
      <c r="G457" s="1"/>
      <c r="H457" s="1"/>
    </row>
    <row r="458" spans="2:8" ht="12.75">
      <c r="B458" s="17" t="s">
        <v>44</v>
      </c>
      <c r="C458" s="8">
        <v>18.93</v>
      </c>
      <c r="D458" s="8">
        <f>C458/2143.1/12*1000</f>
        <v>0.7360832438990248</v>
      </c>
      <c r="E458" s="1"/>
      <c r="F458" s="1"/>
      <c r="G458" s="1"/>
      <c r="H458" s="1"/>
    </row>
    <row r="459" spans="2:8" ht="12.75">
      <c r="B459" s="6" t="s">
        <v>16</v>
      </c>
      <c r="C459" s="8">
        <v>79.29</v>
      </c>
      <c r="D459" s="8">
        <f>C459/2143.1/12*1000</f>
        <v>3.083150576268023</v>
      </c>
      <c r="E459" s="1"/>
      <c r="F459" s="1"/>
      <c r="G459" s="1"/>
      <c r="H459" s="1"/>
    </row>
    <row r="460" spans="2:8" ht="12.75">
      <c r="B460" s="10" t="s">
        <v>19</v>
      </c>
      <c r="C460" s="22">
        <f>SUM(C461:C465)</f>
        <v>77.49</v>
      </c>
      <c r="D460" s="22">
        <f>SUM(D461:D465)</f>
        <v>3.0131585087023476</v>
      </c>
      <c r="E460" s="1"/>
      <c r="F460" s="1"/>
      <c r="G460" s="1"/>
      <c r="H460" s="1"/>
    </row>
    <row r="461" spans="2:8" ht="12.75">
      <c r="B461" s="6" t="s">
        <v>45</v>
      </c>
      <c r="C461" s="8">
        <f>52.84+10.67+5.35</f>
        <v>68.86</v>
      </c>
      <c r="D461" s="8">
        <f>C461/2143.1/12*1000</f>
        <v>2.6775854292069123</v>
      </c>
      <c r="E461" s="1"/>
      <c r="F461" s="1"/>
      <c r="G461" s="1"/>
      <c r="H461" s="1"/>
    </row>
    <row r="462" spans="2:8" ht="12.75">
      <c r="B462" s="6" t="s">
        <v>46</v>
      </c>
      <c r="C462" s="8"/>
      <c r="D462" s="8">
        <f>C462/2143.1/12*1000</f>
        <v>0</v>
      </c>
      <c r="E462" s="1"/>
      <c r="F462" s="1"/>
      <c r="G462" s="1"/>
      <c r="H462" s="1"/>
    </row>
    <row r="463" spans="2:8" ht="12.75">
      <c r="B463" s="20" t="s">
        <v>47</v>
      </c>
      <c r="C463" s="8">
        <v>1.37</v>
      </c>
      <c r="D463" s="8">
        <f>C463/2143.1/12*1000</f>
        <v>0.05327174031387555</v>
      </c>
      <c r="E463" s="1"/>
      <c r="F463" s="1"/>
      <c r="G463" s="1"/>
      <c r="H463" s="1"/>
    </row>
    <row r="464" spans="2:8" ht="12.75">
      <c r="B464" s="8" t="s">
        <v>48</v>
      </c>
      <c r="C464" s="8">
        <v>5.31</v>
      </c>
      <c r="D464" s="8">
        <f>C464/2143.1/12*1000</f>
        <v>0.20647659931874388</v>
      </c>
      <c r="E464" s="1"/>
      <c r="F464" s="1"/>
      <c r="G464" s="1"/>
      <c r="H464" s="1"/>
    </row>
    <row r="465" spans="2:8" ht="12.75">
      <c r="B465" s="8" t="s">
        <v>50</v>
      </c>
      <c r="C465" s="8">
        <v>1.9500000000000002</v>
      </c>
      <c r="D465" s="8">
        <f>C465/2143.1/12*1000</f>
        <v>0.07582473986281556</v>
      </c>
      <c r="E465" s="1"/>
      <c r="F465" s="1"/>
      <c r="G465" s="1"/>
      <c r="H465" s="1"/>
    </row>
    <row r="466" spans="2:8" ht="12.75">
      <c r="B466" s="14" t="s">
        <v>27</v>
      </c>
      <c r="C466" s="14">
        <f>31.97+5</f>
        <v>36.97</v>
      </c>
      <c r="D466" s="14">
        <f>C466/2143.1/12*1000</f>
        <v>1.437559298835021</v>
      </c>
      <c r="E466" s="1"/>
      <c r="F466" s="1"/>
      <c r="G466" s="1"/>
      <c r="H466" s="1"/>
    </row>
    <row r="467" spans="2:8" ht="12.75">
      <c r="B467" s="14"/>
      <c r="C467" s="14"/>
      <c r="D467" s="8"/>
      <c r="E467" s="1"/>
      <c r="F467" s="1"/>
      <c r="G467" s="1"/>
      <c r="H467" s="1"/>
    </row>
    <row r="468" spans="2:8" ht="12.75">
      <c r="B468" s="14" t="s">
        <v>29</v>
      </c>
      <c r="C468" s="14">
        <f>C455+C456+C460+C466+C467</f>
        <v>295.98</v>
      </c>
      <c r="D468" s="14">
        <f>D455+D456+D460+D466+D467</f>
        <v>11.509028976715973</v>
      </c>
      <c r="E468" s="1"/>
      <c r="F468" s="1"/>
      <c r="G468" s="1"/>
      <c r="H468" s="1"/>
    </row>
    <row r="469" spans="2:8" ht="12.75">
      <c r="B469" s="8" t="s">
        <v>51</v>
      </c>
      <c r="C469" s="8">
        <v>29.6</v>
      </c>
      <c r="D469" s="8">
        <f>C469/2143.1/12*1000</f>
        <v>1.1509806666355593</v>
      </c>
      <c r="E469" s="1"/>
      <c r="F469" s="1"/>
      <c r="G469" s="1"/>
      <c r="H469" s="1"/>
    </row>
    <row r="470" spans="2:8" ht="12.75">
      <c r="B470" s="14" t="s">
        <v>31</v>
      </c>
      <c r="C470" s="23">
        <f>C468+C469</f>
        <v>325.58000000000004</v>
      </c>
      <c r="D470" s="23">
        <f>D468+D469</f>
        <v>12.660009643351533</v>
      </c>
      <c r="E470" s="1"/>
      <c r="F470" s="1"/>
      <c r="G470" s="1"/>
      <c r="H470" s="1"/>
    </row>
    <row r="471" spans="2:8" ht="12.75">
      <c r="B471" s="6" t="s">
        <v>34</v>
      </c>
      <c r="C471" s="23">
        <f>C470/C454/12*1000</f>
        <v>12.660009643351533</v>
      </c>
      <c r="D471" s="8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 t="s">
        <v>52</v>
      </c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2" t="s">
        <v>0</v>
      </c>
      <c r="C475" s="2"/>
      <c r="D475" s="2"/>
      <c r="E475" s="1"/>
      <c r="F475" s="1"/>
      <c r="G475" s="1"/>
      <c r="H475" s="1"/>
    </row>
    <row r="476" spans="2:8" ht="12.75">
      <c r="B476" s="2" t="s">
        <v>65</v>
      </c>
      <c r="C476" s="2"/>
      <c r="D476" s="2"/>
      <c r="E476" s="1"/>
      <c r="F476" s="1"/>
      <c r="G476" s="1"/>
      <c r="H476" s="1"/>
    </row>
    <row r="477" spans="2:8" ht="12.75">
      <c r="B477" s="2" t="s">
        <v>78</v>
      </c>
      <c r="C477" s="2"/>
      <c r="D477" s="2"/>
      <c r="E477" s="1"/>
      <c r="F477" s="1"/>
      <c r="G477" s="1"/>
      <c r="H477" s="1"/>
    </row>
    <row r="478" spans="2:8" ht="12.75">
      <c r="B478" s="3"/>
      <c r="C478" s="3"/>
      <c r="D478" s="1"/>
      <c r="E478" s="1"/>
      <c r="F478" s="1"/>
      <c r="G478" s="1"/>
      <c r="H478" s="1"/>
    </row>
    <row r="479" spans="2:8" ht="12.75">
      <c r="B479" s="5" t="s">
        <v>4</v>
      </c>
      <c r="C479" s="31" t="s">
        <v>40</v>
      </c>
      <c r="D479" s="6" t="s">
        <v>41</v>
      </c>
      <c r="E479" s="1"/>
      <c r="F479" s="1"/>
      <c r="G479" s="1"/>
      <c r="H479" s="1"/>
    </row>
    <row r="480" spans="2:8" ht="12.75">
      <c r="B480" s="6"/>
      <c r="C480" s="6"/>
      <c r="D480" s="7"/>
      <c r="E480" s="1"/>
      <c r="F480" s="1"/>
      <c r="G480" s="1"/>
      <c r="H480" s="1"/>
    </row>
    <row r="481" spans="2:8" ht="12.75">
      <c r="B481" s="10" t="s">
        <v>42</v>
      </c>
      <c r="C481" s="8">
        <v>2189.1</v>
      </c>
      <c r="D481" s="8"/>
      <c r="E481" s="1"/>
      <c r="F481" s="1"/>
      <c r="G481" s="1"/>
      <c r="H481" s="1"/>
    </row>
    <row r="482" spans="2:8" ht="12.75">
      <c r="B482" s="11" t="s">
        <v>13</v>
      </c>
      <c r="C482" s="30">
        <v>44.9</v>
      </c>
      <c r="D482" s="8">
        <f>C482/2189.1/12*1000</f>
        <v>1.709226013734716</v>
      </c>
      <c r="E482" s="1"/>
      <c r="F482" s="1"/>
      <c r="G482" s="1"/>
      <c r="H482" s="1"/>
    </row>
    <row r="483" spans="2:8" ht="12.75">
      <c r="B483" s="15" t="s">
        <v>14</v>
      </c>
      <c r="C483" s="9">
        <f>SUM(C484:C486)</f>
        <v>129.88</v>
      </c>
      <c r="D483" s="9">
        <f>SUM(D484:D486)</f>
        <v>4.944193199640645</v>
      </c>
      <c r="E483" s="1"/>
      <c r="F483" s="1"/>
      <c r="G483" s="1"/>
      <c r="H483" s="1"/>
    </row>
    <row r="484" spans="2:8" ht="12.75">
      <c r="B484" s="6" t="s">
        <v>43</v>
      </c>
      <c r="C484" s="8">
        <f>17.08+23.12</f>
        <v>40.2</v>
      </c>
      <c r="D484" s="8">
        <f>C484/2189.1/12*1000</f>
        <v>1.530309259513042</v>
      </c>
      <c r="E484" s="1"/>
      <c r="F484" s="1"/>
      <c r="G484" s="1"/>
      <c r="H484" s="1"/>
    </row>
    <row r="485" spans="2:8" ht="12.75">
      <c r="B485" s="17" t="s">
        <v>44</v>
      </c>
      <c r="C485" s="8">
        <v>19.34</v>
      </c>
      <c r="D485" s="8">
        <f>C485/2189.1/12*1000</f>
        <v>0.7362234099249311</v>
      </c>
      <c r="E485" s="1"/>
      <c r="F485" s="1"/>
      <c r="G485" s="1"/>
      <c r="H485" s="1"/>
    </row>
    <row r="486" spans="2:8" ht="12.75">
      <c r="B486" s="6" t="s">
        <v>16</v>
      </c>
      <c r="C486" s="8">
        <v>70.34</v>
      </c>
      <c r="D486" s="8">
        <f>C486/2189.1/12*1000</f>
        <v>2.6776605302026715</v>
      </c>
      <c r="E486" s="1"/>
      <c r="F486" s="1"/>
      <c r="G486" s="1"/>
      <c r="H486" s="1"/>
    </row>
    <row r="487" spans="2:8" ht="12.75">
      <c r="B487" s="10" t="s">
        <v>19</v>
      </c>
      <c r="C487" s="22">
        <f>SUM(C488:C492)</f>
        <v>89.8</v>
      </c>
      <c r="D487" s="22">
        <f>SUM(D488:D492)</f>
        <v>3.4184520274694323</v>
      </c>
      <c r="E487" s="1"/>
      <c r="F487" s="1"/>
      <c r="G487" s="1"/>
      <c r="H487" s="1"/>
    </row>
    <row r="488" spans="2:8" ht="12.75">
      <c r="B488" s="6" t="s">
        <v>45</v>
      </c>
      <c r="C488" s="8">
        <f>62.32+12.59+6.31</f>
        <v>81.22</v>
      </c>
      <c r="D488" s="8">
        <f>C488/2189.1/12*1000</f>
        <v>3.091833782528589</v>
      </c>
      <c r="E488" s="1"/>
      <c r="F488" s="1"/>
      <c r="G488" s="1"/>
      <c r="H488" s="1"/>
    </row>
    <row r="489" spans="2:8" ht="12.75">
      <c r="B489" s="6" t="s">
        <v>46</v>
      </c>
      <c r="C489" s="8"/>
      <c r="D489" s="8">
        <f>C489/2189.1/12*1000</f>
        <v>0</v>
      </c>
      <c r="E489" s="1"/>
      <c r="F489" s="1"/>
      <c r="G489" s="1"/>
      <c r="H489" s="1"/>
    </row>
    <row r="490" spans="2:8" ht="12.75">
      <c r="B490" s="20" t="s">
        <v>47</v>
      </c>
      <c r="C490" s="8">
        <v>1.37</v>
      </c>
      <c r="D490" s="8">
        <f>C490/2189.1/12*1000</f>
        <v>0.05215233048589223</v>
      </c>
      <c r="E490" s="1"/>
      <c r="F490" s="1"/>
      <c r="G490" s="1"/>
      <c r="H490" s="1"/>
    </row>
    <row r="491" spans="2:8" ht="12.75">
      <c r="B491" s="8" t="s">
        <v>48</v>
      </c>
      <c r="C491" s="8">
        <v>5.31</v>
      </c>
      <c r="D491" s="8">
        <f>C491/2189.1/12*1000</f>
        <v>0.2021378648759764</v>
      </c>
      <c r="E491" s="1"/>
      <c r="F491" s="1"/>
      <c r="G491" s="1"/>
      <c r="H491" s="1"/>
    </row>
    <row r="492" spans="2:8" ht="12.75">
      <c r="B492" s="8" t="s">
        <v>50</v>
      </c>
      <c r="C492" s="8">
        <v>1.9</v>
      </c>
      <c r="D492" s="8">
        <f>C492/2189.1/12*1000</f>
        <v>0.07232804957897462</v>
      </c>
      <c r="E492" s="1"/>
      <c r="F492" s="1"/>
      <c r="G492" s="1"/>
      <c r="H492" s="1"/>
    </row>
    <row r="493" spans="2:8" ht="12.75">
      <c r="B493" s="14" t="s">
        <v>27</v>
      </c>
      <c r="C493" s="14">
        <f>32.66+5.1</f>
        <v>37.76</v>
      </c>
      <c r="D493" s="14">
        <f>C493/2189.1/12*1000</f>
        <v>1.4374248168958326</v>
      </c>
      <c r="E493" s="1"/>
      <c r="F493" s="1"/>
      <c r="G493" s="1"/>
      <c r="H493" s="1"/>
    </row>
    <row r="494" spans="2:8" ht="12.75">
      <c r="B494" s="14"/>
      <c r="C494" s="14"/>
      <c r="D494" s="8"/>
      <c r="E494" s="1"/>
      <c r="F494" s="1"/>
      <c r="G494" s="1"/>
      <c r="H494" s="1"/>
    </row>
    <row r="495" spans="2:8" ht="12.75">
      <c r="B495" s="14" t="s">
        <v>29</v>
      </c>
      <c r="C495" s="14">
        <f>C482+C483+C487+C493+C494</f>
        <v>302.34</v>
      </c>
      <c r="D495" s="14">
        <f>D482+D483+D487+D493+D494</f>
        <v>11.509296057740626</v>
      </c>
      <c r="E495" s="1"/>
      <c r="F495" s="1"/>
      <c r="G495" s="1"/>
      <c r="H495" s="1"/>
    </row>
    <row r="496" spans="2:8" ht="12.75">
      <c r="B496" s="8" t="s">
        <v>51</v>
      </c>
      <c r="C496" s="8">
        <v>30.23</v>
      </c>
      <c r="D496" s="8">
        <f>C496/2189.1/12*1000</f>
        <v>1.1507773361960014</v>
      </c>
      <c r="E496" s="1"/>
      <c r="F496" s="1"/>
      <c r="G496" s="1"/>
      <c r="H496" s="1"/>
    </row>
    <row r="497" spans="2:8" ht="12.75">
      <c r="B497" s="14" t="s">
        <v>31</v>
      </c>
      <c r="C497" s="23">
        <f>C495+C496</f>
        <v>332.57</v>
      </c>
      <c r="D497" s="23">
        <f>D495+D496</f>
        <v>12.660073393936628</v>
      </c>
      <c r="E497" s="1"/>
      <c r="F497" s="1"/>
      <c r="G497" s="1"/>
      <c r="H497" s="1"/>
    </row>
    <row r="498" spans="2:8" ht="12.75">
      <c r="B498" s="6" t="s">
        <v>34</v>
      </c>
      <c r="C498" s="23">
        <f>C497/C481/12*1000</f>
        <v>12.660073393936626</v>
      </c>
      <c r="D498" s="8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 t="s">
        <v>52</v>
      </c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2" t="s">
        <v>0</v>
      </c>
      <c r="C502" s="2"/>
      <c r="D502" s="2"/>
      <c r="E502" s="1"/>
      <c r="F502" s="1"/>
      <c r="G502" s="1"/>
      <c r="H502" s="1"/>
    </row>
    <row r="503" spans="2:8" ht="12.75">
      <c r="B503" s="2" t="s">
        <v>65</v>
      </c>
      <c r="C503" s="2"/>
      <c r="D503" s="2"/>
      <c r="E503" s="1"/>
      <c r="F503" s="1"/>
      <c r="G503" s="1"/>
      <c r="H503" s="1"/>
    </row>
    <row r="504" spans="2:8" ht="12.75">
      <c r="B504" s="2" t="s">
        <v>79</v>
      </c>
      <c r="C504" s="2"/>
      <c r="D504" s="2"/>
      <c r="E504" s="1"/>
      <c r="F504" s="1"/>
      <c r="G504" s="1"/>
      <c r="H504" s="1"/>
    </row>
    <row r="505" spans="2:8" ht="12.75">
      <c r="B505" s="3"/>
      <c r="C505" s="3"/>
      <c r="D505" s="1"/>
      <c r="E505" s="1"/>
      <c r="F505" s="1"/>
      <c r="G505" s="1"/>
      <c r="H505" s="1"/>
    </row>
    <row r="506" spans="2:8" ht="12.75">
      <c r="B506" s="5" t="s">
        <v>4</v>
      </c>
      <c r="C506" s="31" t="s">
        <v>40</v>
      </c>
      <c r="D506" s="6" t="s">
        <v>41</v>
      </c>
      <c r="E506" s="1"/>
      <c r="F506" s="1"/>
      <c r="G506" s="1"/>
      <c r="H506" s="1"/>
    </row>
    <row r="507" spans="2:8" ht="12.75">
      <c r="B507" s="6"/>
      <c r="C507" s="6"/>
      <c r="D507" s="7"/>
      <c r="E507" s="1"/>
      <c r="F507" s="1"/>
      <c r="G507" s="1"/>
      <c r="H507" s="1"/>
    </row>
    <row r="508" spans="2:8" ht="12.75">
      <c r="B508" s="10" t="s">
        <v>42</v>
      </c>
      <c r="C508" s="8">
        <v>1822.4</v>
      </c>
      <c r="D508" s="8"/>
      <c r="E508" s="1"/>
      <c r="F508" s="1"/>
      <c r="G508" s="1"/>
      <c r="H508" s="1"/>
    </row>
    <row r="509" spans="2:8" ht="12.75">
      <c r="B509" s="11" t="s">
        <v>13</v>
      </c>
      <c r="C509" s="30">
        <v>37.38</v>
      </c>
      <c r="D509" s="8">
        <f>C509/1822.4/12*1000</f>
        <v>1.7092844600526778</v>
      </c>
      <c r="E509" s="1"/>
      <c r="F509" s="1"/>
      <c r="G509" s="1"/>
      <c r="H509" s="1"/>
    </row>
    <row r="510" spans="2:8" ht="12.75">
      <c r="B510" s="15" t="s">
        <v>14</v>
      </c>
      <c r="C510" s="9">
        <f>SUM(C511:C513)</f>
        <v>120.67000000000002</v>
      </c>
      <c r="D510" s="9">
        <f>SUM(D511:D513)</f>
        <v>5.517906789581504</v>
      </c>
      <c r="E510" s="1"/>
      <c r="F510" s="1"/>
      <c r="G510" s="1"/>
      <c r="H510" s="1"/>
    </row>
    <row r="511" spans="2:8" ht="12.75">
      <c r="B511" s="6" t="s">
        <v>43</v>
      </c>
      <c r="C511" s="8">
        <f>14.22+19.24</f>
        <v>33.46</v>
      </c>
      <c r="D511" s="8">
        <f>C511/1822.4/12*1000</f>
        <v>1.5300336552531462</v>
      </c>
      <c r="E511" s="1"/>
      <c r="F511" s="1"/>
      <c r="G511" s="1"/>
      <c r="H511" s="1"/>
    </row>
    <row r="512" spans="2:8" ht="12.75">
      <c r="B512" s="17" t="s">
        <v>44</v>
      </c>
      <c r="C512" s="8">
        <v>16.1</v>
      </c>
      <c r="D512" s="8">
        <f>C512/1822.4/12*1000</f>
        <v>0.7362086625695053</v>
      </c>
      <c r="E512" s="1"/>
      <c r="F512" s="1"/>
      <c r="G512" s="1"/>
      <c r="H512" s="1"/>
    </row>
    <row r="513" spans="2:8" ht="12.75">
      <c r="B513" s="6" t="s">
        <v>16</v>
      </c>
      <c r="C513" s="8">
        <v>71.11</v>
      </c>
      <c r="D513" s="8">
        <f>C513/1822.4/12*1000</f>
        <v>3.2516644717588523</v>
      </c>
      <c r="E513" s="1"/>
      <c r="F513" s="1"/>
      <c r="G513" s="1"/>
      <c r="H513" s="1"/>
    </row>
    <row r="514" spans="2:8" ht="12.75">
      <c r="B514" s="10" t="s">
        <v>19</v>
      </c>
      <c r="C514" s="22">
        <f>SUM(C515:C518)</f>
        <v>62.21</v>
      </c>
      <c r="D514" s="22">
        <f>SUM(D515:D518)</f>
        <v>2.84469198127012</v>
      </c>
      <c r="E514" s="1"/>
      <c r="F514" s="1"/>
      <c r="G514" s="1"/>
      <c r="H514" s="1"/>
    </row>
    <row r="515" spans="2:8" ht="12.75">
      <c r="B515" s="6" t="s">
        <v>45</v>
      </c>
      <c r="C515" s="8">
        <f>40.89+8.26+4.14</f>
        <v>53.29</v>
      </c>
      <c r="D515" s="8">
        <f>C515/1822.4/12*1000</f>
        <v>2.4368049458589405</v>
      </c>
      <c r="E515" s="1"/>
      <c r="F515" s="1"/>
      <c r="G515" s="1"/>
      <c r="H515" s="1"/>
    </row>
    <row r="516" spans="2:8" ht="12.75">
      <c r="B516" s="20" t="s">
        <v>47</v>
      </c>
      <c r="C516" s="8">
        <v>0.96</v>
      </c>
      <c r="D516" s="8">
        <f>C516/1822.4/12*1000</f>
        <v>0.043898156277436345</v>
      </c>
      <c r="E516" s="1"/>
      <c r="F516" s="1"/>
      <c r="G516" s="1"/>
      <c r="H516" s="1"/>
    </row>
    <row r="517" spans="2:8" ht="12.75">
      <c r="B517" s="8" t="s">
        <v>48</v>
      </c>
      <c r="C517" s="8">
        <v>7.96</v>
      </c>
      <c r="D517" s="8">
        <f>C517/1822.4/12*1000</f>
        <v>0.363988879133743</v>
      </c>
      <c r="E517" s="1"/>
      <c r="F517" s="1"/>
      <c r="G517" s="1"/>
      <c r="H517" s="1"/>
    </row>
    <row r="518" spans="2:8" ht="12.75">
      <c r="B518" s="8" t="s">
        <v>50</v>
      </c>
      <c r="C518" s="8"/>
      <c r="D518" s="8">
        <f>C518/1822.4/12*1000</f>
        <v>0</v>
      </c>
      <c r="E518" s="1"/>
      <c r="F518" s="1"/>
      <c r="G518" s="1"/>
      <c r="H518" s="1"/>
    </row>
    <row r="519" spans="2:8" ht="12.75">
      <c r="B519" s="14" t="s">
        <v>27</v>
      </c>
      <c r="C519" s="14">
        <f>27.19+4.25</f>
        <v>31.44</v>
      </c>
      <c r="D519" s="8">
        <f>C519/1822.4/12*1000</f>
        <v>1.4376646180860404</v>
      </c>
      <c r="E519" s="1"/>
      <c r="F519" s="1"/>
      <c r="G519" s="1"/>
      <c r="H519" s="1"/>
    </row>
    <row r="520" spans="2:8" ht="12.75">
      <c r="B520" s="14"/>
      <c r="C520" s="14"/>
      <c r="D520" s="8"/>
      <c r="E520" s="1"/>
      <c r="F520" s="1"/>
      <c r="G520" s="1"/>
      <c r="H520" s="1"/>
    </row>
    <row r="521" spans="2:8" ht="12.75">
      <c r="B521" s="14" t="s">
        <v>29</v>
      </c>
      <c r="C521" s="14">
        <f>C509+C510+C514+C519+C520</f>
        <v>251.70000000000002</v>
      </c>
      <c r="D521" s="14">
        <f>D509+D510+D514+D519+D520</f>
        <v>11.509547848990342</v>
      </c>
      <c r="E521" s="1"/>
      <c r="F521" s="1"/>
      <c r="G521" s="1"/>
      <c r="H521" s="1"/>
    </row>
    <row r="522" spans="2:8" ht="12.75">
      <c r="B522" s="8" t="s">
        <v>51</v>
      </c>
      <c r="C522" s="8">
        <v>25.17</v>
      </c>
      <c r="D522" s="8">
        <f>C522/1822.4/12*1000</f>
        <v>1.1509547848990342</v>
      </c>
      <c r="E522" s="1"/>
      <c r="F522" s="1"/>
      <c r="G522" s="1"/>
      <c r="H522" s="1"/>
    </row>
    <row r="523" spans="2:8" ht="12.75">
      <c r="B523" s="14" t="s">
        <v>31</v>
      </c>
      <c r="C523" s="23">
        <f>C521+C522</f>
        <v>276.87</v>
      </c>
      <c r="D523" s="23">
        <f>D521+D522</f>
        <v>12.660502633889376</v>
      </c>
      <c r="E523" s="1"/>
      <c r="F523" s="1"/>
      <c r="G523" s="1"/>
      <c r="H523" s="1"/>
    </row>
    <row r="524" spans="2:8" ht="12.75">
      <c r="B524" s="6" t="s">
        <v>34</v>
      </c>
      <c r="C524" s="23">
        <f>C523/C508/12*1000</f>
        <v>12.660502633889376</v>
      </c>
      <c r="D524" s="8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 t="s">
        <v>52</v>
      </c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2" t="s">
        <v>0</v>
      </c>
      <c r="C528" s="2"/>
      <c r="D528" s="2"/>
      <c r="E528" s="1"/>
      <c r="F528" s="1"/>
      <c r="G528" s="1"/>
      <c r="H528" s="1"/>
    </row>
    <row r="529" spans="2:8" ht="12.75">
      <c r="B529" s="2" t="s">
        <v>65</v>
      </c>
      <c r="C529" s="2"/>
      <c r="D529" s="2"/>
      <c r="E529" s="1"/>
      <c r="F529" s="1"/>
      <c r="G529" s="1"/>
      <c r="H529" s="1"/>
    </row>
    <row r="530" spans="2:8" ht="12.75">
      <c r="B530" s="2" t="s">
        <v>80</v>
      </c>
      <c r="C530" s="2"/>
      <c r="D530" s="2"/>
      <c r="E530" s="1"/>
      <c r="F530" s="1"/>
      <c r="G530" s="1"/>
      <c r="H530" s="1"/>
    </row>
    <row r="531" spans="2:8" ht="12.75">
      <c r="B531" s="3"/>
      <c r="C531" s="3"/>
      <c r="D531" s="1"/>
      <c r="E531" s="1"/>
      <c r="F531" s="1"/>
      <c r="G531" s="1"/>
      <c r="H531" s="1"/>
    </row>
    <row r="532" spans="2:8" ht="12.75">
      <c r="B532" s="5" t="s">
        <v>4</v>
      </c>
      <c r="C532" s="31" t="s">
        <v>40</v>
      </c>
      <c r="D532" s="6" t="s">
        <v>41</v>
      </c>
      <c r="E532" s="1"/>
      <c r="F532" s="1"/>
      <c r="G532" s="1"/>
      <c r="H532" s="1"/>
    </row>
    <row r="533" spans="2:8" ht="12.75">
      <c r="B533" s="6"/>
      <c r="C533" s="6"/>
      <c r="D533" s="7"/>
      <c r="E533" s="1"/>
      <c r="F533" s="1"/>
      <c r="G533" s="1"/>
      <c r="H533" s="1"/>
    </row>
    <row r="534" spans="2:8" ht="12.75">
      <c r="B534" s="10" t="s">
        <v>42</v>
      </c>
      <c r="C534" s="8">
        <v>1449.1</v>
      </c>
      <c r="D534" s="8"/>
      <c r="E534" s="1"/>
      <c r="F534" s="1"/>
      <c r="G534" s="1"/>
      <c r="H534" s="1"/>
    </row>
    <row r="535" spans="2:8" ht="12.75">
      <c r="B535" s="11" t="s">
        <v>13</v>
      </c>
      <c r="C535" s="30">
        <v>29.72</v>
      </c>
      <c r="D535" s="8">
        <f>C535/1449.1/12*1000</f>
        <v>1.7091068019230327</v>
      </c>
      <c r="E535" s="1"/>
      <c r="F535" s="1"/>
      <c r="G535" s="1"/>
      <c r="H535" s="1"/>
    </row>
    <row r="536" spans="2:8" ht="12.75">
      <c r="B536" s="15" t="s">
        <v>14</v>
      </c>
      <c r="C536" s="9">
        <f>SUM(C537:C539)</f>
        <v>95.94</v>
      </c>
      <c r="D536" s="9">
        <f>SUM(D537:D539)</f>
        <v>5.517217583327582</v>
      </c>
      <c r="E536" s="1"/>
      <c r="F536" s="1"/>
      <c r="G536" s="1"/>
      <c r="H536" s="1"/>
    </row>
    <row r="537" spans="2:8" ht="12.75">
      <c r="B537" s="6" t="s">
        <v>43</v>
      </c>
      <c r="C537" s="8">
        <f>11.3+15.3</f>
        <v>26.6</v>
      </c>
      <c r="D537" s="8">
        <f>C537/1449.1/12*1000</f>
        <v>1.5296850918961196</v>
      </c>
      <c r="E537" s="1"/>
      <c r="F537" s="1"/>
      <c r="G537" s="1"/>
      <c r="H537" s="1"/>
    </row>
    <row r="538" spans="2:8" ht="12.75">
      <c r="B538" s="17" t="s">
        <v>44</v>
      </c>
      <c r="C538" s="8">
        <v>12.8</v>
      </c>
      <c r="D538" s="8">
        <f>C538/1449.1/12*1000</f>
        <v>0.7360890667770801</v>
      </c>
      <c r="E538" s="1"/>
      <c r="F538" s="1"/>
      <c r="G538" s="1"/>
      <c r="H538" s="1"/>
    </row>
    <row r="539" spans="2:8" ht="12.75">
      <c r="B539" s="6" t="s">
        <v>16</v>
      </c>
      <c r="C539" s="8">
        <v>56.54</v>
      </c>
      <c r="D539" s="8">
        <f>C539/1449.1/12*1000</f>
        <v>3.251443424654383</v>
      </c>
      <c r="E539" s="1"/>
      <c r="F539" s="1"/>
      <c r="G539" s="1"/>
      <c r="H539" s="1"/>
    </row>
    <row r="540" spans="2:8" ht="12.75">
      <c r="B540" s="10" t="s">
        <v>19</v>
      </c>
      <c r="C540" s="22">
        <f>SUM(C541:C545)</f>
        <v>49.47</v>
      </c>
      <c r="D540" s="22">
        <f>SUM(D541:D545)</f>
        <v>2.8448692291767306</v>
      </c>
      <c r="E540" s="1"/>
      <c r="F540" s="1"/>
      <c r="G540" s="1"/>
      <c r="H540" s="1"/>
    </row>
    <row r="541" spans="2:8" ht="12.75">
      <c r="B541" s="6" t="s">
        <v>45</v>
      </c>
      <c r="C541" s="8">
        <f>33.76+6.82+3.42</f>
        <v>44</v>
      </c>
      <c r="D541" s="8">
        <f>C541/1449.1/12*1000</f>
        <v>2.530306167046213</v>
      </c>
      <c r="E541" s="1"/>
      <c r="F541" s="1"/>
      <c r="G541" s="1"/>
      <c r="H541" s="1"/>
    </row>
    <row r="542" spans="2:8" ht="12.75">
      <c r="B542" s="6" t="s">
        <v>46</v>
      </c>
      <c r="C542" s="8"/>
      <c r="D542" s="8">
        <f>C542/1449.1/12*1000</f>
        <v>0</v>
      </c>
      <c r="E542" s="1"/>
      <c r="F542" s="1"/>
      <c r="G542" s="1"/>
      <c r="H542" s="1"/>
    </row>
    <row r="543" spans="2:8" ht="12.75">
      <c r="B543" s="20" t="s">
        <v>47</v>
      </c>
      <c r="C543" s="8">
        <v>0.31</v>
      </c>
      <c r="D543" s="8">
        <f>C543/1449.1/12*1000</f>
        <v>0.017827157086007406</v>
      </c>
      <c r="E543" s="1"/>
      <c r="F543" s="1"/>
      <c r="G543" s="1"/>
      <c r="H543" s="1"/>
    </row>
    <row r="544" spans="2:8" ht="12.75">
      <c r="B544" s="8" t="s">
        <v>48</v>
      </c>
      <c r="C544" s="8">
        <v>4.25</v>
      </c>
      <c r="D544" s="8">
        <f>C544/1449.1/12*1000</f>
        <v>0.24440457295332735</v>
      </c>
      <c r="E544" s="1"/>
      <c r="F544" s="1"/>
      <c r="G544" s="1"/>
      <c r="H544" s="1"/>
    </row>
    <row r="545" spans="2:8" ht="12.75">
      <c r="B545" s="8" t="s">
        <v>50</v>
      </c>
      <c r="C545" s="8">
        <v>0.91</v>
      </c>
      <c r="D545" s="8">
        <f>C545/1449.1/12*1000</f>
        <v>0.052331332091183035</v>
      </c>
      <c r="E545" s="1"/>
      <c r="F545" s="1"/>
      <c r="G545" s="1"/>
      <c r="H545" s="1"/>
    </row>
    <row r="546" spans="2:8" ht="12.75">
      <c r="B546" s="14" t="s">
        <v>27</v>
      </c>
      <c r="C546" s="14">
        <f>21.63+3.38</f>
        <v>25.009999999999998</v>
      </c>
      <c r="D546" s="14">
        <f>C546/1449.1/12*1000</f>
        <v>1.438249028132404</v>
      </c>
      <c r="E546" s="1"/>
      <c r="F546" s="1"/>
      <c r="G546" s="1"/>
      <c r="H546" s="1"/>
    </row>
    <row r="547" spans="2:8" ht="12.75">
      <c r="B547" s="14"/>
      <c r="C547" s="14"/>
      <c r="D547" s="8"/>
      <c r="E547" s="1"/>
      <c r="F547" s="1"/>
      <c r="G547" s="1"/>
      <c r="H547" s="1"/>
    </row>
    <row r="548" spans="2:8" ht="12.75">
      <c r="B548" s="14" t="s">
        <v>29</v>
      </c>
      <c r="C548" s="14">
        <f>C535+C536+C540+C546+C547</f>
        <v>200.14</v>
      </c>
      <c r="D548" s="14">
        <f>D535+D536+D540+D546+D547</f>
        <v>11.50944264255975</v>
      </c>
      <c r="E548" s="1"/>
      <c r="F548" s="1"/>
      <c r="G548" s="1"/>
      <c r="H548" s="1"/>
    </row>
    <row r="549" spans="2:8" ht="12.75">
      <c r="B549" s="8" t="s">
        <v>51</v>
      </c>
      <c r="C549" s="8">
        <v>20.01</v>
      </c>
      <c r="D549" s="8">
        <f>C549/1449.1/12*1000</f>
        <v>1.1507142364226073</v>
      </c>
      <c r="E549" s="1"/>
      <c r="F549" s="1"/>
      <c r="G549" s="1"/>
      <c r="H549" s="1"/>
    </row>
    <row r="550" spans="2:8" ht="12.75">
      <c r="B550" s="14" t="s">
        <v>31</v>
      </c>
      <c r="C550" s="23">
        <f>C548+C549</f>
        <v>220.14999999999998</v>
      </c>
      <c r="D550" s="23">
        <f>D548+D549</f>
        <v>12.660156878982356</v>
      </c>
      <c r="E550" s="1"/>
      <c r="F550" s="1"/>
      <c r="G550" s="1"/>
      <c r="H550" s="1"/>
    </row>
    <row r="551" spans="2:8" ht="12.75">
      <c r="B551" s="6" t="s">
        <v>34</v>
      </c>
      <c r="C551" s="23">
        <f>C550/C534/12*1000</f>
        <v>12.660156878982356</v>
      </c>
      <c r="D551" s="8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 t="s">
        <v>52</v>
      </c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2" t="s">
        <v>0</v>
      </c>
      <c r="C555" s="2"/>
      <c r="D555" s="2"/>
      <c r="E555" s="1"/>
      <c r="F555" s="1"/>
      <c r="G555" s="1"/>
      <c r="H555" s="1"/>
    </row>
    <row r="556" spans="2:8" ht="12.75">
      <c r="B556" s="2" t="s">
        <v>65</v>
      </c>
      <c r="C556" s="2"/>
      <c r="D556" s="2"/>
      <c r="E556" s="1"/>
      <c r="F556" s="1"/>
      <c r="G556" s="1"/>
      <c r="H556" s="1"/>
    </row>
    <row r="557" spans="2:8" ht="12.75">
      <c r="B557" s="2" t="s">
        <v>81</v>
      </c>
      <c r="C557" s="2"/>
      <c r="D557" s="2"/>
      <c r="E557" s="1"/>
      <c r="F557" s="1"/>
      <c r="G557" s="1"/>
      <c r="H557" s="1"/>
    </row>
    <row r="558" spans="2:8" ht="12.75">
      <c r="B558" s="3"/>
      <c r="C558" s="3"/>
      <c r="D558" s="1"/>
      <c r="E558" s="1"/>
      <c r="F558" s="1"/>
      <c r="G558" s="1"/>
      <c r="H558" s="1"/>
    </row>
    <row r="559" spans="2:8" ht="12.75">
      <c r="B559" s="5" t="s">
        <v>4</v>
      </c>
      <c r="C559" s="31" t="s">
        <v>40</v>
      </c>
      <c r="D559" s="6" t="s">
        <v>41</v>
      </c>
      <c r="E559" s="1"/>
      <c r="F559" s="1"/>
      <c r="G559" s="1"/>
      <c r="H559" s="1"/>
    </row>
    <row r="560" spans="2:8" ht="12.75">
      <c r="B560" s="6"/>
      <c r="C560" s="6"/>
      <c r="D560" s="7"/>
      <c r="E560" s="1"/>
      <c r="F560" s="1"/>
      <c r="G560" s="1"/>
      <c r="H560" s="1"/>
    </row>
    <row r="561" spans="2:8" ht="12.75">
      <c r="B561" s="10" t="s">
        <v>42</v>
      </c>
      <c r="C561" s="8">
        <v>960.5</v>
      </c>
      <c r="D561" s="8"/>
      <c r="E561" s="1"/>
      <c r="F561" s="1"/>
      <c r="G561" s="1"/>
      <c r="H561" s="1"/>
    </row>
    <row r="562" spans="2:8" ht="12.75">
      <c r="B562" s="11" t="s">
        <v>13</v>
      </c>
      <c r="C562" s="30">
        <v>19.7</v>
      </c>
      <c r="D562" s="8">
        <f>C562/960.5/12*1000</f>
        <v>1.709179246920007</v>
      </c>
      <c r="E562" s="1"/>
      <c r="F562" s="1"/>
      <c r="G562" s="1"/>
      <c r="H562" s="1"/>
    </row>
    <row r="563" spans="2:8" ht="12.75">
      <c r="B563" s="15" t="s">
        <v>14</v>
      </c>
      <c r="C563" s="14">
        <f>SUM(C564:C566)</f>
        <v>57.75000000000001</v>
      </c>
      <c r="D563" s="14">
        <f>SUM(D564:D566)</f>
        <v>5.0104112441436754</v>
      </c>
      <c r="E563" s="1"/>
      <c r="F563" s="1"/>
      <c r="G563" s="1"/>
      <c r="H563" s="1"/>
    </row>
    <row r="564" spans="2:8" ht="12.75">
      <c r="B564" s="6" t="s">
        <v>43</v>
      </c>
      <c r="C564" s="8">
        <f>7.49+10.14</f>
        <v>17.630000000000003</v>
      </c>
      <c r="D564" s="8">
        <f>C564/960.5/12*1000</f>
        <v>1.5295852854416103</v>
      </c>
      <c r="E564" s="1"/>
      <c r="F564" s="1"/>
      <c r="G564" s="1"/>
      <c r="H564" s="1"/>
    </row>
    <row r="565" spans="2:8" ht="12.75">
      <c r="B565" s="17" t="s">
        <v>44</v>
      </c>
      <c r="C565" s="8">
        <v>8.48</v>
      </c>
      <c r="D565" s="8">
        <f>C565/960.5/12*1000</f>
        <v>0.7357279194863787</v>
      </c>
      <c r="E565" s="1"/>
      <c r="F565" s="1"/>
      <c r="G565" s="1"/>
      <c r="H565" s="1"/>
    </row>
    <row r="566" spans="2:8" ht="12.75">
      <c r="B566" s="6" t="s">
        <v>16</v>
      </c>
      <c r="C566" s="8">
        <v>31.64</v>
      </c>
      <c r="D566" s="8">
        <f>C566/960.5/12*1000</f>
        <v>2.7450980392156863</v>
      </c>
      <c r="E566" s="1"/>
      <c r="F566" s="1"/>
      <c r="G566" s="1"/>
      <c r="H566" s="1"/>
    </row>
    <row r="567" spans="2:8" ht="12.75">
      <c r="B567" s="10" t="s">
        <v>19</v>
      </c>
      <c r="C567" s="22">
        <f>SUM(C568:C571)</f>
        <v>38.62</v>
      </c>
      <c r="D567" s="22">
        <f>SUM(D568:D571)</f>
        <v>3.3506854069061247</v>
      </c>
      <c r="E567" s="1"/>
      <c r="F567" s="1"/>
      <c r="G567" s="1"/>
      <c r="H567" s="1"/>
    </row>
    <row r="568" spans="2:8" ht="12.75">
      <c r="B568" s="6" t="s">
        <v>45</v>
      </c>
      <c r="C568" s="8">
        <f>26.18+5.29+2.65</f>
        <v>34.12</v>
      </c>
      <c r="D568" s="8">
        <f>C568/960.5/12*1000</f>
        <v>2.9602637515183057</v>
      </c>
      <c r="E568" s="1"/>
      <c r="F568" s="1"/>
      <c r="G568" s="1"/>
      <c r="H568" s="1"/>
    </row>
    <row r="569" spans="2:8" ht="12.75">
      <c r="B569" s="20" t="s">
        <v>47</v>
      </c>
      <c r="C569" s="8">
        <v>1.55</v>
      </c>
      <c r="D569" s="8">
        <f>C569/960.5/12*1000</f>
        <v>0.13447857018913761</v>
      </c>
      <c r="E569" s="1"/>
      <c r="F569" s="1"/>
      <c r="G569" s="1"/>
      <c r="H569" s="1"/>
    </row>
    <row r="570" spans="2:8" ht="12.75">
      <c r="B570" s="8" t="s">
        <v>48</v>
      </c>
      <c r="C570" s="8">
        <v>2.12</v>
      </c>
      <c r="D570" s="8">
        <f>C570/960.5/12*1000</f>
        <v>0.18393197987159468</v>
      </c>
      <c r="E570" s="1"/>
      <c r="F570" s="1"/>
      <c r="G570" s="1"/>
      <c r="H570" s="1"/>
    </row>
    <row r="571" spans="2:8" ht="12.75">
      <c r="B571" s="8" t="s">
        <v>50</v>
      </c>
      <c r="C571" s="8">
        <v>0.83</v>
      </c>
      <c r="D571" s="8">
        <f>C571/960.5/12*1000</f>
        <v>0.07201110532708659</v>
      </c>
      <c r="E571" s="1"/>
      <c r="F571" s="1"/>
      <c r="G571" s="1"/>
      <c r="H571" s="1"/>
    </row>
    <row r="572" spans="2:8" ht="12.75">
      <c r="B572" s="14" t="s">
        <v>27</v>
      </c>
      <c r="C572" s="14">
        <f>14.34+2.24</f>
        <v>16.58</v>
      </c>
      <c r="D572" s="14">
        <f>C572/960.5/12*1000</f>
        <v>1.4384868991844524</v>
      </c>
      <c r="E572" s="1"/>
      <c r="F572" s="1"/>
      <c r="G572" s="1"/>
      <c r="H572" s="1"/>
    </row>
    <row r="573" spans="2:8" ht="12.75">
      <c r="B573" s="14"/>
      <c r="C573" s="14"/>
      <c r="D573" s="8"/>
      <c r="E573" s="1"/>
      <c r="F573" s="1"/>
      <c r="G573" s="1"/>
      <c r="H573" s="1"/>
    </row>
    <row r="574" spans="2:8" ht="12.75">
      <c r="B574" s="14" t="s">
        <v>29</v>
      </c>
      <c r="C574" s="14">
        <f>C562+C563+C567+C572+C573</f>
        <v>132.64999999999998</v>
      </c>
      <c r="D574" s="14">
        <f>D562+D563+D567+D572+D573</f>
        <v>11.50876279715426</v>
      </c>
      <c r="E574" s="1"/>
      <c r="F574" s="1"/>
      <c r="G574" s="1"/>
      <c r="H574" s="1"/>
    </row>
    <row r="575" spans="2:8" ht="12.75">
      <c r="B575" s="8" t="s">
        <v>51</v>
      </c>
      <c r="C575" s="8">
        <v>13.27</v>
      </c>
      <c r="D575" s="8">
        <f>C575/960.5/12*1000</f>
        <v>1.151310081554746</v>
      </c>
      <c r="E575" s="1"/>
      <c r="F575" s="1"/>
      <c r="G575" s="1"/>
      <c r="H575" s="1"/>
    </row>
    <row r="576" spans="2:8" ht="12.75">
      <c r="B576" s="14" t="s">
        <v>31</v>
      </c>
      <c r="C576" s="23">
        <f>C574+C575</f>
        <v>145.92</v>
      </c>
      <c r="D576" s="23">
        <f>D574+D575</f>
        <v>12.660072878709006</v>
      </c>
      <c r="E576" s="1"/>
      <c r="F576" s="1"/>
      <c r="G576" s="1"/>
      <c r="H576" s="1"/>
    </row>
    <row r="577" spans="2:8" ht="12.75">
      <c r="B577" s="6" t="s">
        <v>34</v>
      </c>
      <c r="C577" s="23">
        <f>C576/C561/12*1000</f>
        <v>12.660072878709004</v>
      </c>
      <c r="D577" s="8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 t="s">
        <v>52</v>
      </c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2" t="s">
        <v>0</v>
      </c>
      <c r="C581" s="2"/>
      <c r="D581" s="2"/>
      <c r="E581" s="1"/>
      <c r="F581" s="1"/>
      <c r="G581" s="1"/>
      <c r="H581" s="1"/>
    </row>
    <row r="582" spans="2:8" ht="12.75">
      <c r="B582" s="2" t="s">
        <v>65</v>
      </c>
      <c r="C582" s="2"/>
      <c r="D582" s="2"/>
      <c r="E582" s="1"/>
      <c r="F582" s="1"/>
      <c r="G582" s="1"/>
      <c r="H582" s="1"/>
    </row>
    <row r="583" spans="2:8" ht="12.75">
      <c r="B583" s="2" t="s">
        <v>82</v>
      </c>
      <c r="C583" s="2"/>
      <c r="D583" s="2"/>
      <c r="E583" s="1"/>
      <c r="F583" s="1"/>
      <c r="G583" s="1"/>
      <c r="H583" s="1"/>
    </row>
    <row r="584" spans="2:8" ht="12.75">
      <c r="B584" s="3"/>
      <c r="C584" s="3"/>
      <c r="D584" s="1"/>
      <c r="E584" s="1"/>
      <c r="F584" s="1"/>
      <c r="G584" s="1"/>
      <c r="H584" s="1"/>
    </row>
    <row r="585" spans="2:8" ht="12.75">
      <c r="B585" s="5" t="s">
        <v>4</v>
      </c>
      <c r="C585" s="31" t="s">
        <v>40</v>
      </c>
      <c r="D585" s="6" t="s">
        <v>41</v>
      </c>
      <c r="E585" s="1"/>
      <c r="F585" s="1"/>
      <c r="G585" s="1"/>
      <c r="H585" s="1"/>
    </row>
    <row r="586" spans="2:8" ht="12.75">
      <c r="B586" s="6"/>
      <c r="C586" s="6"/>
      <c r="D586" s="7"/>
      <c r="E586" s="1"/>
      <c r="F586" s="1"/>
      <c r="G586" s="1"/>
      <c r="H586" s="1"/>
    </row>
    <row r="587" spans="2:8" ht="12.75">
      <c r="B587" s="10" t="s">
        <v>42</v>
      </c>
      <c r="C587" s="8">
        <v>722.25</v>
      </c>
      <c r="D587" s="8"/>
      <c r="E587" s="1"/>
      <c r="F587" s="1"/>
      <c r="G587" s="1"/>
      <c r="H587" s="1"/>
    </row>
    <row r="588" spans="2:8" ht="12.75">
      <c r="B588" s="11" t="s">
        <v>13</v>
      </c>
      <c r="C588" s="30">
        <v>14.81</v>
      </c>
      <c r="D588" s="8">
        <f>C588/722.25/12*1000</f>
        <v>1.7087804315218644</v>
      </c>
      <c r="E588" s="1"/>
      <c r="F588" s="1"/>
      <c r="G588" s="1"/>
      <c r="H588" s="1"/>
    </row>
    <row r="589" spans="2:8" ht="12.75">
      <c r="B589" s="15" t="s">
        <v>14</v>
      </c>
      <c r="C589" s="9">
        <f>SUM(C590:C592)</f>
        <v>31.799999999999997</v>
      </c>
      <c r="D589" s="9">
        <f>SUM(D590:D592)</f>
        <v>3.6690896503980612</v>
      </c>
      <c r="E589" s="1"/>
      <c r="F589" s="1"/>
      <c r="G589" s="1"/>
      <c r="H589" s="1"/>
    </row>
    <row r="590" spans="2:8" ht="12.75">
      <c r="B590" s="6" t="s">
        <v>43</v>
      </c>
      <c r="C590" s="8">
        <f>5.63+7.63</f>
        <v>13.26</v>
      </c>
      <c r="D590" s="8">
        <f>C590/722.25/12*1000</f>
        <v>1.5299411561093803</v>
      </c>
      <c r="E590" s="1"/>
      <c r="F590" s="1"/>
      <c r="G590" s="1"/>
      <c r="H590" s="1"/>
    </row>
    <row r="591" spans="2:8" ht="12.75">
      <c r="B591" s="17" t="s">
        <v>44</v>
      </c>
      <c r="C591" s="8">
        <v>6.38</v>
      </c>
      <c r="D591" s="8">
        <f>C591/722.25/12*1000</f>
        <v>0.7361255336333218</v>
      </c>
      <c r="E591" s="1"/>
      <c r="F591" s="1"/>
      <c r="G591" s="1"/>
      <c r="H591" s="1"/>
    </row>
    <row r="592" spans="2:8" ht="12.75">
      <c r="B592" s="6" t="s">
        <v>16</v>
      </c>
      <c r="C592" s="8">
        <v>12.16</v>
      </c>
      <c r="D592" s="8">
        <f>C592/722.25/12*1000</f>
        <v>1.4030229606553595</v>
      </c>
      <c r="E592" s="1"/>
      <c r="F592" s="1"/>
      <c r="G592" s="1"/>
      <c r="H592" s="1"/>
    </row>
    <row r="593" spans="2:8" ht="12.75">
      <c r="B593" s="10" t="s">
        <v>19</v>
      </c>
      <c r="C593" s="22">
        <f>SUM(C594:C597)</f>
        <v>40.669999999999995</v>
      </c>
      <c r="D593" s="22">
        <f>SUM(D594:D597)</f>
        <v>4.692511826468212</v>
      </c>
      <c r="E593" s="1"/>
      <c r="F593" s="1"/>
      <c r="G593" s="1"/>
      <c r="H593" s="1"/>
    </row>
    <row r="594" spans="2:8" ht="12.75">
      <c r="B594" s="6" t="s">
        <v>45</v>
      </c>
      <c r="C594" s="8">
        <f>29.25+5.91+2.96</f>
        <v>38.12</v>
      </c>
      <c r="D594" s="8">
        <f>C594/722.25/12*1000</f>
        <v>4.398292373370254</v>
      </c>
      <c r="E594" s="1"/>
      <c r="F594" s="1"/>
      <c r="G594" s="1"/>
      <c r="H594" s="1"/>
    </row>
    <row r="595" spans="2:8" ht="12.75">
      <c r="B595" s="20" t="s">
        <v>47</v>
      </c>
      <c r="C595" s="8">
        <v>0.31</v>
      </c>
      <c r="D595" s="8">
        <f>C595/722.25/12*1000</f>
        <v>0.03576785508249682</v>
      </c>
      <c r="E595" s="1"/>
      <c r="F595" s="1"/>
      <c r="G595" s="1"/>
      <c r="H595" s="1"/>
    </row>
    <row r="596" spans="2:8" ht="12.75">
      <c r="B596" s="8" t="s">
        <v>48</v>
      </c>
      <c r="C596" s="8">
        <v>1.59</v>
      </c>
      <c r="D596" s="8">
        <f>C596/722.25/12*1000</f>
        <v>0.18345448251990307</v>
      </c>
      <c r="E596" s="1"/>
      <c r="F596" s="1"/>
      <c r="G596" s="1"/>
      <c r="H596" s="1"/>
    </row>
    <row r="597" spans="2:8" ht="12.75">
      <c r="B597" s="8" t="s">
        <v>50</v>
      </c>
      <c r="C597" s="8">
        <v>0.65</v>
      </c>
      <c r="D597" s="14">
        <f>C597/722.25/12*1000</f>
        <v>0.07499711549555786</v>
      </c>
      <c r="E597" s="1"/>
      <c r="F597" s="1"/>
      <c r="G597" s="1"/>
      <c r="H597" s="1"/>
    </row>
    <row r="598" spans="2:8" ht="12.75">
      <c r="B598" s="14" t="s">
        <v>27</v>
      </c>
      <c r="C598" s="14">
        <f>10.78+1.68</f>
        <v>12.459999999999999</v>
      </c>
      <c r="D598" s="14">
        <f>C598/722.25/12*1000</f>
        <v>1.4376370139610013</v>
      </c>
      <c r="E598" s="1"/>
      <c r="F598" s="1"/>
      <c r="G598" s="1"/>
      <c r="H598" s="1"/>
    </row>
    <row r="599" spans="2:8" ht="12.75">
      <c r="B599" s="14"/>
      <c r="C599" s="14"/>
      <c r="D599" s="8"/>
      <c r="E599" s="1"/>
      <c r="F599" s="1"/>
      <c r="G599" s="1"/>
      <c r="H599" s="1"/>
    </row>
    <row r="600" spans="2:8" ht="12.75">
      <c r="B600" s="14" t="s">
        <v>29</v>
      </c>
      <c r="C600" s="14">
        <f>C588+C589+C593+C598+C599</f>
        <v>99.74</v>
      </c>
      <c r="D600" s="14">
        <f>D588+D589+D593+D598+D599</f>
        <v>11.50801892234914</v>
      </c>
      <c r="E600" s="1"/>
      <c r="F600" s="1"/>
      <c r="G600" s="1"/>
      <c r="H600" s="1"/>
    </row>
    <row r="601" spans="2:8" ht="12.75">
      <c r="B601" s="8" t="s">
        <v>51</v>
      </c>
      <c r="C601" s="8">
        <v>9.97</v>
      </c>
      <c r="D601" s="8">
        <f>C601/722.25/12*1000</f>
        <v>1.1503403715241722</v>
      </c>
      <c r="E601" s="1"/>
      <c r="F601" s="1"/>
      <c r="G601" s="1"/>
      <c r="H601" s="1"/>
    </row>
    <row r="602" spans="2:8" ht="12.75">
      <c r="B602" s="14" t="s">
        <v>31</v>
      </c>
      <c r="C602" s="23">
        <f>C600+C601</f>
        <v>109.71</v>
      </c>
      <c r="D602" s="23">
        <f>D600+D601</f>
        <v>12.65835929387331</v>
      </c>
      <c r="E602" s="1"/>
      <c r="F602" s="1"/>
      <c r="G602" s="1"/>
      <c r="H602" s="1"/>
    </row>
    <row r="603" spans="2:8" ht="12.75">
      <c r="B603" s="6" t="s">
        <v>34</v>
      </c>
      <c r="C603" s="23">
        <f>C602/C587/12*1000</f>
        <v>12.65835929387331</v>
      </c>
      <c r="D603" s="8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 t="s">
        <v>52</v>
      </c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2" t="s">
        <v>0</v>
      </c>
      <c r="C607" s="2"/>
      <c r="D607" s="2"/>
      <c r="E607" s="1"/>
      <c r="F607" s="1"/>
      <c r="G607" s="1"/>
      <c r="H607" s="1"/>
    </row>
    <row r="608" spans="2:8" ht="12.75">
      <c r="B608" s="2" t="s">
        <v>65</v>
      </c>
      <c r="C608" s="2"/>
      <c r="D608" s="2"/>
      <c r="E608" s="1"/>
      <c r="F608" s="1"/>
      <c r="G608" s="1"/>
      <c r="H608" s="1"/>
    </row>
    <row r="609" spans="2:8" ht="12.75">
      <c r="B609" s="2" t="s">
        <v>83</v>
      </c>
      <c r="C609" s="2"/>
      <c r="D609" s="2"/>
      <c r="E609" s="1"/>
      <c r="F609" s="1"/>
      <c r="G609" s="1"/>
      <c r="H609" s="1"/>
    </row>
    <row r="610" spans="2:8" ht="12.75">
      <c r="B610" s="3"/>
      <c r="C610" s="3"/>
      <c r="D610" s="1"/>
      <c r="E610" s="1"/>
      <c r="F610" s="1"/>
      <c r="G610" s="1"/>
      <c r="H610" s="1"/>
    </row>
    <row r="611" spans="2:8" ht="12.75">
      <c r="B611" s="5" t="s">
        <v>4</v>
      </c>
      <c r="C611" s="31" t="s">
        <v>40</v>
      </c>
      <c r="D611" s="6" t="s">
        <v>41</v>
      </c>
      <c r="E611" s="1"/>
      <c r="F611" s="1"/>
      <c r="G611" s="1"/>
      <c r="H611" s="1"/>
    </row>
    <row r="612" spans="2:8" ht="12.75">
      <c r="B612" s="6"/>
      <c r="C612" s="6"/>
      <c r="D612" s="7"/>
      <c r="E612" s="1"/>
      <c r="F612" s="1"/>
      <c r="G612" s="1"/>
      <c r="H612" s="1"/>
    </row>
    <row r="613" spans="2:8" ht="12.75">
      <c r="B613" s="10" t="s">
        <v>42</v>
      </c>
      <c r="C613" s="8">
        <v>1946</v>
      </c>
      <c r="D613" s="8"/>
      <c r="E613" s="1"/>
      <c r="F613" s="1"/>
      <c r="G613" s="1"/>
      <c r="H613" s="1"/>
    </row>
    <row r="614" spans="2:8" ht="12.75">
      <c r="B614" s="11" t="s">
        <v>13</v>
      </c>
      <c r="C614" s="30">
        <v>39.91</v>
      </c>
      <c r="D614" s="8">
        <f>C614/1946/12*1000</f>
        <v>1.7090613223706748</v>
      </c>
      <c r="E614" s="1"/>
      <c r="F614" s="1"/>
      <c r="G614" s="1"/>
      <c r="H614" s="1"/>
    </row>
    <row r="615" spans="2:8" ht="12.75">
      <c r="B615" s="15" t="s">
        <v>14</v>
      </c>
      <c r="C615" s="9">
        <f>SUM(C616:C618)</f>
        <v>84.24000000000001</v>
      </c>
      <c r="D615" s="9">
        <f>SUM(D616:D618)</f>
        <v>3.6073997944501546</v>
      </c>
      <c r="E615" s="1"/>
      <c r="F615" s="1"/>
      <c r="G615" s="1"/>
      <c r="H615" s="1"/>
    </row>
    <row r="616" spans="2:8" ht="12.75">
      <c r="B616" s="6" t="s">
        <v>43</v>
      </c>
      <c r="C616" s="8">
        <f>15.18+20.55</f>
        <v>35.730000000000004</v>
      </c>
      <c r="D616" s="8">
        <f>C616/1946/12*1000</f>
        <v>1.5300616649537517</v>
      </c>
      <c r="E616" s="1"/>
      <c r="F616" s="1"/>
      <c r="G616" s="1"/>
      <c r="H616" s="1"/>
    </row>
    <row r="617" spans="2:8" ht="12.75">
      <c r="B617" s="17" t="s">
        <v>44</v>
      </c>
      <c r="C617" s="8">
        <v>17.19</v>
      </c>
      <c r="D617" s="8">
        <f>C617/1946/12*1000</f>
        <v>0.736125385405961</v>
      </c>
      <c r="E617" s="1"/>
      <c r="F617" s="1"/>
      <c r="G617" s="1"/>
      <c r="H617" s="1"/>
    </row>
    <row r="618" spans="2:8" ht="12.75">
      <c r="B618" s="6" t="s">
        <v>16</v>
      </c>
      <c r="C618" s="8">
        <v>31.32</v>
      </c>
      <c r="D618" s="8">
        <f>C618/1946/12*1000</f>
        <v>1.3412127440904418</v>
      </c>
      <c r="E618" s="1"/>
      <c r="F618" s="1"/>
      <c r="G618" s="1"/>
      <c r="H618" s="1"/>
    </row>
    <row r="619" spans="2:8" ht="12.75">
      <c r="B619" s="10" t="s">
        <v>19</v>
      </c>
      <c r="C619" s="22">
        <f>SUM(C620:C623)</f>
        <v>111.03</v>
      </c>
      <c r="D619" s="22">
        <f>SUM(D620:D623)</f>
        <v>4.754624871531346</v>
      </c>
      <c r="E619" s="1"/>
      <c r="F619" s="1"/>
      <c r="G619" s="1"/>
      <c r="H619" s="1"/>
    </row>
    <row r="620" spans="2:8" ht="12.75">
      <c r="B620" s="6" t="s">
        <v>45</v>
      </c>
      <c r="C620" s="8">
        <f>78.3+15.82+7.92</f>
        <v>102.04</v>
      </c>
      <c r="D620" s="8">
        <f>C620/1946/12*1000</f>
        <v>4.369647139431312</v>
      </c>
      <c r="E620" s="1"/>
      <c r="F620" s="1"/>
      <c r="G620" s="1"/>
      <c r="H620" s="1"/>
    </row>
    <row r="621" spans="2:8" ht="12.75">
      <c r="B621" s="20" t="s">
        <v>47</v>
      </c>
      <c r="C621" s="8">
        <v>1.86</v>
      </c>
      <c r="D621" s="8">
        <f>C621/1946/12*1000</f>
        <v>0.07965056526207605</v>
      </c>
      <c r="E621" s="1"/>
      <c r="F621" s="1"/>
      <c r="G621" s="1"/>
      <c r="H621" s="1"/>
    </row>
    <row r="622" spans="2:8" ht="12.75">
      <c r="B622" s="8" t="s">
        <v>48</v>
      </c>
      <c r="C622" s="8">
        <v>5.57</v>
      </c>
      <c r="D622" s="8">
        <f>C622/1946/12*1000</f>
        <v>0.23852346694073315</v>
      </c>
      <c r="E622" s="1"/>
      <c r="F622" s="1"/>
      <c r="G622" s="1"/>
      <c r="H622" s="1"/>
    </row>
    <row r="623" spans="2:8" ht="12.75">
      <c r="B623" s="8" t="s">
        <v>50</v>
      </c>
      <c r="C623" s="8">
        <v>1.56</v>
      </c>
      <c r="D623" s="8">
        <f>C623/1946/12*1000</f>
        <v>0.06680369989722508</v>
      </c>
      <c r="E623" s="1"/>
      <c r="F623" s="1"/>
      <c r="G623" s="1"/>
      <c r="H623" s="1"/>
    </row>
    <row r="624" spans="2:8" ht="12.75">
      <c r="B624" s="14" t="s">
        <v>27</v>
      </c>
      <c r="C624" s="14">
        <f>29.03+4.54</f>
        <v>33.57</v>
      </c>
      <c r="D624" s="14">
        <f>C624/1946/12*1000</f>
        <v>1.4375642343268242</v>
      </c>
      <c r="E624" s="1"/>
      <c r="F624" s="1"/>
      <c r="G624" s="1"/>
      <c r="H624" s="1"/>
    </row>
    <row r="625" spans="2:8" ht="12.75">
      <c r="B625" s="14"/>
      <c r="C625" s="14"/>
      <c r="D625" s="8"/>
      <c r="E625" s="1"/>
      <c r="F625" s="1"/>
      <c r="G625" s="1"/>
      <c r="H625" s="1"/>
    </row>
    <row r="626" spans="2:8" ht="12.75">
      <c r="B626" s="14" t="s">
        <v>29</v>
      </c>
      <c r="C626" s="14">
        <f>C614+C615+C619+C624+C625</f>
        <v>268.75</v>
      </c>
      <c r="D626" s="14">
        <f>D614+D615+D619+D624+D625</f>
        <v>11.508650222679</v>
      </c>
      <c r="E626" s="1"/>
      <c r="F626" s="1"/>
      <c r="G626" s="1"/>
      <c r="H626" s="1"/>
    </row>
    <row r="627" spans="2:8" ht="12.75">
      <c r="B627" s="8" t="s">
        <v>51</v>
      </c>
      <c r="C627" s="8">
        <v>26.88</v>
      </c>
      <c r="D627" s="8">
        <f>C627/1946/12*1000</f>
        <v>1.1510791366906474</v>
      </c>
      <c r="E627" s="1"/>
      <c r="F627" s="1"/>
      <c r="G627" s="1"/>
      <c r="H627" s="1"/>
    </row>
    <row r="628" spans="2:8" ht="12.75">
      <c r="B628" s="14" t="s">
        <v>31</v>
      </c>
      <c r="C628" s="23">
        <f>C626+C627</f>
        <v>295.63</v>
      </c>
      <c r="D628" s="23">
        <f>D626+D627</f>
        <v>12.659729359369647</v>
      </c>
      <c r="E628" s="1"/>
      <c r="F628" s="1"/>
      <c r="G628" s="1"/>
      <c r="H628" s="1"/>
    </row>
    <row r="629" spans="2:8" ht="12.75">
      <c r="B629" s="6" t="s">
        <v>34</v>
      </c>
      <c r="C629" s="23">
        <f>C628/C613/12*1000</f>
        <v>12.659729359369647</v>
      </c>
      <c r="D629" s="8"/>
      <c r="E629" s="1"/>
      <c r="F629" s="1"/>
      <c r="G629" s="1"/>
      <c r="H629" s="1"/>
    </row>
    <row r="630" spans="2:8" ht="12.75">
      <c r="B630" s="1"/>
      <c r="C630" s="1"/>
      <c r="D630" s="1"/>
      <c r="E630" s="1"/>
      <c r="F630" s="1"/>
      <c r="G630" s="1"/>
      <c r="H630" s="1"/>
    </row>
    <row r="631" spans="2:8" ht="12.75">
      <c r="B631" s="1" t="s">
        <v>52</v>
      </c>
      <c r="C631" s="1"/>
      <c r="D631" s="1"/>
      <c r="E631" s="1"/>
      <c r="F631" s="1"/>
      <c r="G631" s="1"/>
      <c r="H631" s="1"/>
    </row>
    <row r="632" spans="2:8" ht="12.75">
      <c r="B632" s="1"/>
      <c r="C632" s="1"/>
      <c r="D632" s="1"/>
      <c r="E632" s="1"/>
      <c r="F632" s="1"/>
      <c r="G632" s="1"/>
      <c r="H632" s="1"/>
    </row>
    <row r="633" spans="2:8" ht="12.75">
      <c r="B633" s="2" t="s">
        <v>0</v>
      </c>
      <c r="C633" s="2"/>
      <c r="D633" s="2"/>
      <c r="E633" s="1"/>
      <c r="F633" s="1"/>
      <c r="G633" s="1"/>
      <c r="H633" s="1"/>
    </row>
    <row r="634" spans="2:8" ht="12.75">
      <c r="B634" s="2" t="s">
        <v>65</v>
      </c>
      <c r="C634" s="2"/>
      <c r="D634" s="2"/>
      <c r="E634" s="1"/>
      <c r="F634" s="1"/>
      <c r="G634" s="1"/>
      <c r="H634" s="1"/>
    </row>
    <row r="635" spans="2:8" ht="12.75">
      <c r="B635" s="2" t="s">
        <v>84</v>
      </c>
      <c r="C635" s="2"/>
      <c r="D635" s="2"/>
      <c r="E635" s="1"/>
      <c r="F635" s="1"/>
      <c r="G635" s="1"/>
      <c r="H635" s="1"/>
    </row>
    <row r="636" spans="2:8" ht="12.75">
      <c r="B636" s="3"/>
      <c r="C636" s="3"/>
      <c r="D636" s="1"/>
      <c r="E636" s="1"/>
      <c r="F636" s="1"/>
      <c r="G636" s="1"/>
      <c r="H636" s="1"/>
    </row>
    <row r="637" spans="2:8" ht="12.75">
      <c r="B637" s="5" t="s">
        <v>4</v>
      </c>
      <c r="C637" s="31" t="s">
        <v>40</v>
      </c>
      <c r="D637" s="6" t="s">
        <v>41</v>
      </c>
      <c r="E637" s="1"/>
      <c r="F637" s="1"/>
      <c r="G637" s="1"/>
      <c r="H637" s="1"/>
    </row>
    <row r="638" spans="2:8" ht="12.75">
      <c r="B638" s="6"/>
      <c r="C638" s="6"/>
      <c r="D638" s="7"/>
      <c r="E638" s="1"/>
      <c r="F638" s="1"/>
      <c r="G638" s="1"/>
      <c r="H638" s="1"/>
    </row>
    <row r="639" spans="2:8" ht="12.75">
      <c r="B639" s="10" t="s">
        <v>42</v>
      </c>
      <c r="C639" s="8">
        <v>6023.7</v>
      </c>
      <c r="D639" s="8"/>
      <c r="E639" s="1"/>
      <c r="F639" s="1"/>
      <c r="G639" s="1"/>
      <c r="H639" s="1"/>
    </row>
    <row r="640" spans="2:8" ht="12.75">
      <c r="B640" s="11" t="s">
        <v>13</v>
      </c>
      <c r="C640" s="30">
        <v>133.98</v>
      </c>
      <c r="D640" s="8">
        <f>C640/6023.7/12*1000</f>
        <v>1.8535119610870394</v>
      </c>
      <c r="E640" s="1"/>
      <c r="F640" s="1"/>
      <c r="G640" s="1"/>
      <c r="H640" s="1"/>
    </row>
    <row r="641" spans="2:8" ht="12.75">
      <c r="B641" s="15" t="s">
        <v>14</v>
      </c>
      <c r="C641" s="14">
        <f>SUM(C642:C645)</f>
        <v>482.85</v>
      </c>
      <c r="D641" s="8">
        <f>C641/6023.7/12*1000</f>
        <v>6.679864535086409</v>
      </c>
      <c r="E641" s="1"/>
      <c r="F641" s="1"/>
      <c r="G641" s="1"/>
      <c r="H641" s="1"/>
    </row>
    <row r="642" spans="2:8" ht="12.75">
      <c r="B642" s="6" t="s">
        <v>43</v>
      </c>
      <c r="C642" s="8">
        <f>46.99+63.61</f>
        <v>110.6</v>
      </c>
      <c r="D642" s="8">
        <f>C642/6023.7/12*1000</f>
        <v>1.530067345097974</v>
      </c>
      <c r="E642" s="1"/>
      <c r="F642" s="1"/>
      <c r="G642" s="1"/>
      <c r="H642" s="1"/>
    </row>
    <row r="643" spans="2:8" ht="12.75">
      <c r="B643" s="17" t="s">
        <v>44</v>
      </c>
      <c r="C643" s="8">
        <v>53.21</v>
      </c>
      <c r="D643" s="8">
        <f>C643/6023.7/12*1000</f>
        <v>0.7361201033694683</v>
      </c>
      <c r="E643" s="1"/>
      <c r="F643" s="1"/>
      <c r="G643" s="1"/>
      <c r="H643" s="1"/>
    </row>
    <row r="644" spans="2:8" ht="12.75">
      <c r="B644" s="6" t="s">
        <v>16</v>
      </c>
      <c r="C644" s="8">
        <v>302.47</v>
      </c>
      <c r="D644" s="8">
        <f>C644/6023.7/12*1000</f>
        <v>4.184443669726802</v>
      </c>
      <c r="E644" s="1"/>
      <c r="F644" s="1"/>
      <c r="G644" s="1"/>
      <c r="H644" s="1"/>
    </row>
    <row r="645" spans="2:8" ht="12.75">
      <c r="B645" s="6" t="s">
        <v>64</v>
      </c>
      <c r="C645" s="8">
        <v>16.57</v>
      </c>
      <c r="D645" s="8">
        <f>C645/6023.7/12*1000</f>
        <v>0.22923341689216484</v>
      </c>
      <c r="E645" s="1"/>
      <c r="F645" s="1"/>
      <c r="G645" s="1"/>
      <c r="H645" s="1"/>
    </row>
    <row r="646" spans="2:8" ht="12.75">
      <c r="B646" s="10" t="s">
        <v>19</v>
      </c>
      <c r="C646" s="22">
        <f>SUM(C647:C651)</f>
        <v>180.3</v>
      </c>
      <c r="D646" s="8">
        <f>C646/6023.7/12*1000</f>
        <v>2.4943141258694825</v>
      </c>
      <c r="E646" s="1"/>
      <c r="F646" s="1"/>
      <c r="G646" s="1"/>
      <c r="H646" s="1"/>
    </row>
    <row r="647" spans="2:8" ht="12.75">
      <c r="B647" s="6" t="s">
        <v>45</v>
      </c>
      <c r="C647" s="8">
        <f>120.03+24.25+12.15</f>
        <v>156.43</v>
      </c>
      <c r="D647" s="8">
        <f>C647/6023.7/12*1000</f>
        <v>2.1640907305034007</v>
      </c>
      <c r="E647" s="1"/>
      <c r="F647" s="1"/>
      <c r="G647" s="1"/>
      <c r="H647" s="1"/>
    </row>
    <row r="648" spans="2:8" ht="12.75">
      <c r="B648" s="6" t="s">
        <v>46</v>
      </c>
      <c r="C648" s="8">
        <v>0</v>
      </c>
      <c r="D648" s="8">
        <f>C648/6023.7/12*1000</f>
        <v>0</v>
      </c>
      <c r="E648" s="1"/>
      <c r="F648" s="1"/>
      <c r="G648" s="1"/>
      <c r="H648" s="1"/>
    </row>
    <row r="649" spans="2:8" ht="12.75">
      <c r="B649" s="20" t="s">
        <v>47</v>
      </c>
      <c r="C649" s="8">
        <v>3.8</v>
      </c>
      <c r="D649" s="8">
        <f>C649/6023.7/12*1000</f>
        <v>0.052570125780943056</v>
      </c>
      <c r="E649" s="1"/>
      <c r="F649" s="1"/>
      <c r="G649" s="1"/>
      <c r="H649" s="1"/>
    </row>
    <row r="650" spans="2:8" ht="12.75">
      <c r="B650" s="8" t="s">
        <v>48</v>
      </c>
      <c r="C650" s="8">
        <v>15.79</v>
      </c>
      <c r="D650" s="8">
        <f>C650/6023.7/12*1000</f>
        <v>0.21844270686344494</v>
      </c>
      <c r="E650" s="1"/>
      <c r="F650" s="1"/>
      <c r="G650" s="1"/>
      <c r="H650" s="1"/>
    </row>
    <row r="651" spans="2:8" ht="12.75">
      <c r="B651" s="8" t="s">
        <v>50</v>
      </c>
      <c r="C651" s="8">
        <v>4.28</v>
      </c>
      <c r="D651" s="8">
        <f>C651/6023.7/12*1000</f>
        <v>0.059210562721693755</v>
      </c>
      <c r="E651" s="1"/>
      <c r="F651" s="1"/>
      <c r="G651" s="1"/>
      <c r="H651" s="1"/>
    </row>
    <row r="652" spans="2:8" ht="12.75">
      <c r="B652" s="14" t="s">
        <v>27</v>
      </c>
      <c r="C652" s="14">
        <f>89.87+15.23</f>
        <v>105.10000000000001</v>
      </c>
      <c r="D652" s="8">
        <f>C652/6023.7/12*1000</f>
        <v>1.4539790051518724</v>
      </c>
      <c r="E652" s="1"/>
      <c r="F652" s="1"/>
      <c r="G652" s="1"/>
      <c r="H652" s="1"/>
    </row>
    <row r="653" spans="2:8" ht="12.75">
      <c r="B653" s="14"/>
      <c r="C653" s="14"/>
      <c r="D653" s="8">
        <f>C653/6023.7/12*1000</f>
        <v>0</v>
      </c>
      <c r="E653" s="1"/>
      <c r="F653" s="1"/>
      <c r="G653" s="1"/>
      <c r="H653" s="1"/>
    </row>
    <row r="654" spans="2:8" ht="12.75">
      <c r="B654" s="14" t="s">
        <v>29</v>
      </c>
      <c r="C654" s="14">
        <f>C640+C641+C646+C652+C653</f>
        <v>902.2300000000001</v>
      </c>
      <c r="D654" s="8">
        <f>C654/6023.7/12*1000</f>
        <v>12.481669627194805</v>
      </c>
      <c r="E654" s="1"/>
      <c r="F654" s="1"/>
      <c r="G654" s="1"/>
      <c r="H654" s="1"/>
    </row>
    <row r="655" spans="2:8" ht="12.75">
      <c r="B655" s="8" t="s">
        <v>51</v>
      </c>
      <c r="C655" s="8">
        <v>90.22</v>
      </c>
      <c r="D655" s="8">
        <f>C655/6023.7/12*1000</f>
        <v>1.2481254599886005</v>
      </c>
      <c r="E655" s="1"/>
      <c r="F655" s="1"/>
      <c r="G655" s="1"/>
      <c r="H655" s="1"/>
    </row>
    <row r="656" spans="2:8" ht="12.75">
      <c r="B656" s="14" t="s">
        <v>31</v>
      </c>
      <c r="C656" s="23">
        <f>C654+C655</f>
        <v>992.4500000000002</v>
      </c>
      <c r="D656" s="23">
        <f>D654+D655</f>
        <v>13.729795087183405</v>
      </c>
      <c r="E656" s="1"/>
      <c r="F656" s="1"/>
      <c r="G656" s="1"/>
      <c r="H656" s="1"/>
    </row>
    <row r="657" spans="2:8" ht="12.75">
      <c r="B657" s="6" t="s">
        <v>34</v>
      </c>
      <c r="C657" s="23">
        <f>C656/C639/12*1000</f>
        <v>13.729795087183408</v>
      </c>
      <c r="D657" s="8"/>
      <c r="E657" s="1"/>
      <c r="F657" s="1"/>
      <c r="G657" s="1"/>
      <c r="H657" s="1"/>
    </row>
    <row r="658" spans="2:8" ht="12.75">
      <c r="B658" s="1"/>
      <c r="C658" s="1"/>
      <c r="D658" s="1"/>
      <c r="E658" s="1"/>
      <c r="F658" s="1"/>
      <c r="G658" s="1"/>
      <c r="H658" s="1"/>
    </row>
    <row r="659" spans="2:8" ht="12.75">
      <c r="B659" s="1" t="s">
        <v>52</v>
      </c>
      <c r="C659" s="1"/>
      <c r="D659" s="1"/>
      <c r="E659" s="1"/>
      <c r="F659" s="1"/>
      <c r="G659" s="1"/>
      <c r="H659" s="1"/>
    </row>
    <row r="660" spans="2:8" ht="12.75">
      <c r="B660" s="1"/>
      <c r="C660" s="1"/>
      <c r="D660" s="1"/>
      <c r="E660" s="1"/>
      <c r="F660" s="1"/>
      <c r="G660" s="1"/>
      <c r="H660" s="1"/>
    </row>
    <row r="661" spans="2:8" ht="12.75">
      <c r="B661" s="2" t="s">
        <v>0</v>
      </c>
      <c r="C661" s="2"/>
      <c r="D661" s="2"/>
      <c r="E661" s="1"/>
      <c r="F661" s="1"/>
      <c r="G661" s="1"/>
      <c r="H661" s="1"/>
    </row>
    <row r="662" spans="2:8" ht="12.75">
      <c r="B662" s="2" t="s">
        <v>65</v>
      </c>
      <c r="C662" s="2"/>
      <c r="D662" s="2"/>
      <c r="E662" s="1"/>
      <c r="F662" s="1"/>
      <c r="G662" s="1"/>
      <c r="H662" s="1"/>
    </row>
    <row r="663" spans="2:8" ht="12.75">
      <c r="B663" s="2" t="s">
        <v>85</v>
      </c>
      <c r="C663" s="2"/>
      <c r="D663" s="2"/>
      <c r="E663" s="1"/>
      <c r="F663" s="1"/>
      <c r="G663" s="1"/>
      <c r="H663" s="1"/>
    </row>
    <row r="664" spans="2:8" ht="12.75">
      <c r="B664" s="3"/>
      <c r="C664" s="3"/>
      <c r="D664" s="1"/>
      <c r="E664" s="1"/>
      <c r="F664" s="1"/>
      <c r="G664" s="1"/>
      <c r="H664" s="1"/>
    </row>
    <row r="665" spans="2:8" ht="12.75">
      <c r="B665" s="5" t="s">
        <v>4</v>
      </c>
      <c r="C665" s="31" t="s">
        <v>40</v>
      </c>
      <c r="D665" s="6" t="s">
        <v>41</v>
      </c>
      <c r="E665" s="1"/>
      <c r="F665" s="1"/>
      <c r="G665" s="1"/>
      <c r="H665" s="1"/>
    </row>
    <row r="666" spans="2:8" ht="12.75">
      <c r="B666" s="6"/>
      <c r="C666" s="6"/>
      <c r="D666" s="7"/>
      <c r="E666" s="1"/>
      <c r="F666" s="1"/>
      <c r="G666" s="1"/>
      <c r="H666" s="1"/>
    </row>
    <row r="667" spans="2:8" ht="12.75">
      <c r="B667" s="10" t="s">
        <v>42</v>
      </c>
      <c r="C667" s="8">
        <v>4533.8</v>
      </c>
      <c r="D667" s="8"/>
      <c r="E667" s="1"/>
      <c r="F667" s="1"/>
      <c r="G667" s="1"/>
      <c r="H667" s="1"/>
    </row>
    <row r="668" spans="2:8" ht="12.75">
      <c r="B668" s="11" t="s">
        <v>13</v>
      </c>
      <c r="C668" s="30">
        <v>92.98</v>
      </c>
      <c r="D668" s="8">
        <f>C668/4533.8/12*1000</f>
        <v>1.7090152484303085</v>
      </c>
      <c r="E668" s="1"/>
      <c r="F668" s="1"/>
      <c r="G668" s="1"/>
      <c r="H668" s="1"/>
    </row>
    <row r="669" spans="2:8" ht="12.75">
      <c r="B669" s="15" t="s">
        <v>14</v>
      </c>
      <c r="C669" s="9">
        <f>SUM(C670:C672)</f>
        <v>276.12</v>
      </c>
      <c r="D669" s="9">
        <f>SUM(D670:D672)</f>
        <v>5.075212845736468</v>
      </c>
      <c r="E669" s="1"/>
      <c r="F669" s="1"/>
      <c r="G669" s="1"/>
      <c r="H669" s="1"/>
    </row>
    <row r="670" spans="2:8" ht="12.75">
      <c r="B670" s="6" t="s">
        <v>43</v>
      </c>
      <c r="C670" s="8">
        <f>35.37+47.87</f>
        <v>83.24</v>
      </c>
      <c r="D670" s="8">
        <f>C670/4533.8/12*1000</f>
        <v>1.5299895598982456</v>
      </c>
      <c r="E670" s="1"/>
      <c r="F670" s="1"/>
      <c r="G670" s="1"/>
      <c r="H670" s="1"/>
    </row>
    <row r="671" spans="2:8" ht="12.75">
      <c r="B671" s="17" t="s">
        <v>44</v>
      </c>
      <c r="C671" s="8">
        <v>40.05</v>
      </c>
      <c r="D671" s="8">
        <f>C671/4533.8/12*1000</f>
        <v>0.7361374564383077</v>
      </c>
      <c r="E671" s="1"/>
      <c r="F671" s="1"/>
      <c r="G671" s="1"/>
      <c r="H671" s="1"/>
    </row>
    <row r="672" spans="2:8" ht="12.75">
      <c r="B672" s="6" t="s">
        <v>16</v>
      </c>
      <c r="C672" s="8">
        <v>152.83</v>
      </c>
      <c r="D672" s="8">
        <f>C672/4533.8/12*1000</f>
        <v>2.809085829399915</v>
      </c>
      <c r="E672" s="1"/>
      <c r="F672" s="1"/>
      <c r="G672" s="1"/>
      <c r="H672" s="1"/>
    </row>
    <row r="673" spans="2:8" ht="12.75">
      <c r="B673" s="10" t="s">
        <v>19</v>
      </c>
      <c r="C673" s="22">
        <f>SUM(C674:C678)</f>
        <v>178.84</v>
      </c>
      <c r="D673" s="22">
        <f>SUM(D674:D678)</f>
        <v>3.2871616157160295</v>
      </c>
      <c r="E673" s="1"/>
      <c r="F673" s="1"/>
      <c r="G673" s="1"/>
      <c r="H673" s="1"/>
    </row>
    <row r="674" spans="2:8" ht="12.75">
      <c r="B674" s="6" t="s">
        <v>45</v>
      </c>
      <c r="C674" s="8">
        <f>123.13+24.87+12.46</f>
        <v>160.46</v>
      </c>
      <c r="D674" s="8">
        <f>C674/4533.8/12*1000</f>
        <v>2.9493287455703094</v>
      </c>
      <c r="E674" s="1"/>
      <c r="F674" s="1"/>
      <c r="G674" s="1"/>
      <c r="H674" s="1"/>
    </row>
    <row r="675" spans="2:8" ht="12.75">
      <c r="B675" s="6" t="s">
        <v>46</v>
      </c>
      <c r="C675" s="8">
        <v>0</v>
      </c>
      <c r="D675" s="8">
        <f>C675/4533.8/12*1000</f>
        <v>0</v>
      </c>
      <c r="E675" s="1"/>
      <c r="F675" s="1"/>
      <c r="G675" s="1"/>
      <c r="H675" s="1"/>
    </row>
    <row r="676" spans="2:8" ht="12.75">
      <c r="B676" s="20" t="s">
        <v>47</v>
      </c>
      <c r="C676" s="8">
        <v>3.1</v>
      </c>
      <c r="D676" s="8">
        <f>C676/4533.8/12*1000</f>
        <v>0.056979428588233565</v>
      </c>
      <c r="E676" s="1"/>
      <c r="F676" s="1"/>
      <c r="G676" s="1"/>
      <c r="H676" s="1"/>
    </row>
    <row r="677" spans="2:8" ht="12.75">
      <c r="B677" s="8" t="s">
        <v>48</v>
      </c>
      <c r="C677" s="8">
        <v>11.94</v>
      </c>
      <c r="D677" s="8">
        <f>C677/4533.8/12*1000</f>
        <v>0.21946270236887377</v>
      </c>
      <c r="E677" s="1"/>
      <c r="F677" s="1"/>
      <c r="G677" s="1"/>
      <c r="H677" s="1"/>
    </row>
    <row r="678" spans="2:8" ht="12.75">
      <c r="B678" s="8" t="s">
        <v>50</v>
      </c>
      <c r="C678" s="8">
        <v>3.34</v>
      </c>
      <c r="D678" s="8">
        <f>C678/4533.8/12*1000</f>
        <v>0.06139073918861293</v>
      </c>
      <c r="E678" s="1"/>
      <c r="F678" s="1"/>
      <c r="G678" s="1"/>
      <c r="H678" s="1"/>
    </row>
    <row r="679" spans="2:8" ht="12.75">
      <c r="B679" s="14" t="s">
        <v>27</v>
      </c>
      <c r="C679" s="14">
        <f>67.64+10.57</f>
        <v>78.21000000000001</v>
      </c>
      <c r="D679" s="14">
        <f>C679/4533.8/12*1000</f>
        <v>1.4375358418986284</v>
      </c>
      <c r="E679" s="1"/>
      <c r="F679" s="1"/>
      <c r="G679" s="1"/>
      <c r="H679" s="1"/>
    </row>
    <row r="680" spans="2:8" ht="12.75">
      <c r="B680" s="14"/>
      <c r="C680" s="14"/>
      <c r="D680" s="8"/>
      <c r="E680" s="1"/>
      <c r="F680" s="1"/>
      <c r="G680" s="1"/>
      <c r="H680" s="1"/>
    </row>
    <row r="681" spans="2:8" ht="12.75">
      <c r="B681" s="14" t="s">
        <v>29</v>
      </c>
      <c r="C681" s="14">
        <f>C668+C669+C673+C679+C680</f>
        <v>626.1500000000001</v>
      </c>
      <c r="D681" s="14">
        <f>D668+D669+D673+D679+D680</f>
        <v>11.508925551781433</v>
      </c>
      <c r="E681" s="1"/>
      <c r="F681" s="1"/>
      <c r="G681" s="1"/>
      <c r="H681" s="1"/>
    </row>
    <row r="682" spans="2:8" ht="12.75">
      <c r="B682" s="8" t="s">
        <v>51</v>
      </c>
      <c r="C682" s="8">
        <v>62.62</v>
      </c>
      <c r="D682" s="8">
        <f>C682/4533.8/12*1000</f>
        <v>1.150984457482318</v>
      </c>
      <c r="E682" s="1"/>
      <c r="F682" s="1"/>
      <c r="G682" s="1"/>
      <c r="H682" s="1"/>
    </row>
    <row r="683" spans="2:8" ht="12.75">
      <c r="B683" s="14" t="s">
        <v>31</v>
      </c>
      <c r="C683" s="23">
        <f>C681+C682</f>
        <v>688.7700000000001</v>
      </c>
      <c r="D683" s="23">
        <f>D681+D682</f>
        <v>12.65991000926375</v>
      </c>
      <c r="E683" s="1"/>
      <c r="F683" s="1"/>
      <c r="G683" s="1"/>
      <c r="H683" s="1"/>
    </row>
    <row r="684" spans="2:8" ht="12.75">
      <c r="B684" s="6" t="s">
        <v>34</v>
      </c>
      <c r="C684" s="23">
        <f>C683/C667/12*1000</f>
        <v>12.659910009263752</v>
      </c>
      <c r="D684" s="8"/>
      <c r="E684" s="1"/>
      <c r="F684" s="1"/>
      <c r="G684" s="1"/>
      <c r="H684" s="1"/>
    </row>
    <row r="685" spans="2:8" ht="12.75">
      <c r="B685" s="1"/>
      <c r="C685" s="1"/>
      <c r="D685" s="1"/>
      <c r="E685" s="1"/>
      <c r="F685" s="1"/>
      <c r="G685" s="1"/>
      <c r="H685" s="1"/>
    </row>
    <row r="686" spans="2:8" ht="12.75">
      <c r="B686" s="1" t="s">
        <v>52</v>
      </c>
      <c r="C686" s="1"/>
      <c r="D686" s="1"/>
      <c r="E686" s="1"/>
      <c r="F686" s="1"/>
      <c r="G686" s="1"/>
      <c r="H686" s="1"/>
    </row>
    <row r="687" spans="2:8" ht="12.75">
      <c r="B687" s="1"/>
      <c r="C687" s="1"/>
      <c r="D687" s="1"/>
      <c r="E687" s="1"/>
      <c r="F687" s="1"/>
      <c r="G687" s="1"/>
      <c r="H687" s="1"/>
    </row>
    <row r="688" spans="2:8" ht="12.75">
      <c r="B688" s="1"/>
      <c r="C688" s="1"/>
      <c r="D688" s="1"/>
      <c r="E688" s="1"/>
      <c r="F688" s="1"/>
      <c r="G688" s="1"/>
      <c r="H688" s="1"/>
    </row>
    <row r="689" spans="2:8" ht="12.75">
      <c r="B689" s="2" t="s">
        <v>0</v>
      </c>
      <c r="C689" s="2"/>
      <c r="D689" s="2"/>
      <c r="E689" s="1"/>
      <c r="F689" s="1"/>
      <c r="G689" s="1"/>
      <c r="H689" s="1"/>
    </row>
    <row r="690" spans="2:8" ht="12.75">
      <c r="B690" s="2" t="s">
        <v>65</v>
      </c>
      <c r="C690" s="2"/>
      <c r="D690" s="2"/>
      <c r="E690" s="1"/>
      <c r="F690" s="1"/>
      <c r="G690" s="1"/>
      <c r="H690" s="1"/>
    </row>
    <row r="691" spans="2:8" ht="12.75">
      <c r="B691" s="2" t="s">
        <v>86</v>
      </c>
      <c r="C691" s="2"/>
      <c r="D691" s="2"/>
      <c r="E691" s="1"/>
      <c r="F691" s="1"/>
      <c r="G691" s="1"/>
      <c r="H691" s="1"/>
    </row>
    <row r="692" spans="2:8" ht="12.75">
      <c r="B692" s="3"/>
      <c r="C692" s="3"/>
      <c r="D692" s="1"/>
      <c r="E692" s="1"/>
      <c r="F692" s="1"/>
      <c r="G692" s="1"/>
      <c r="H692" s="1"/>
    </row>
    <row r="693" spans="2:8" ht="12.75">
      <c r="B693" s="5" t="s">
        <v>4</v>
      </c>
      <c r="C693" s="31" t="s">
        <v>40</v>
      </c>
      <c r="D693" s="6" t="s">
        <v>41</v>
      </c>
      <c r="E693" s="1"/>
      <c r="F693" s="1"/>
      <c r="G693" s="1"/>
      <c r="H693" s="1"/>
    </row>
    <row r="694" spans="2:8" ht="12.75">
      <c r="B694" s="6"/>
      <c r="C694" s="6"/>
      <c r="D694" s="7"/>
      <c r="E694" s="1"/>
      <c r="F694" s="1"/>
      <c r="G694" s="1"/>
      <c r="H694" s="1"/>
    </row>
    <row r="695" spans="2:8" ht="12.75">
      <c r="B695" s="10" t="s">
        <v>42</v>
      </c>
      <c r="C695" s="8">
        <v>4533.1</v>
      </c>
      <c r="D695" s="8"/>
      <c r="E695" s="1"/>
      <c r="F695" s="1"/>
      <c r="G695" s="1"/>
      <c r="H695" s="1"/>
    </row>
    <row r="696" spans="2:8" ht="12.75">
      <c r="B696" s="11" t="s">
        <v>13</v>
      </c>
      <c r="C696" s="30">
        <v>92.97</v>
      </c>
      <c r="D696" s="8">
        <f>C696/4533.8/12*1000</f>
        <v>1.7088314438219592</v>
      </c>
      <c r="E696" s="1"/>
      <c r="F696" s="1"/>
      <c r="G696" s="1"/>
      <c r="H696" s="1"/>
    </row>
    <row r="697" spans="2:8" ht="12.75">
      <c r="B697" s="15" t="s">
        <v>14</v>
      </c>
      <c r="C697" s="9">
        <f>SUM(C698:C700)</f>
        <v>278.51</v>
      </c>
      <c r="D697" s="9">
        <f>SUM(D698:D700)</f>
        <v>5.119142147131913</v>
      </c>
      <c r="E697" s="1"/>
      <c r="F697" s="1"/>
      <c r="G697" s="1"/>
      <c r="H697" s="1"/>
    </row>
    <row r="698" spans="2:8" ht="12.75">
      <c r="B698" s="6" t="s">
        <v>43</v>
      </c>
      <c r="C698" s="8">
        <f>35.36+47.87</f>
        <v>83.22999999999999</v>
      </c>
      <c r="D698" s="8">
        <f>C698/4533.8/12*1000</f>
        <v>1.5298057552898963</v>
      </c>
      <c r="E698" s="1"/>
      <c r="F698" s="1"/>
      <c r="G698" s="1"/>
      <c r="H698" s="1"/>
    </row>
    <row r="699" spans="2:8" ht="12.75">
      <c r="B699" s="17" t="s">
        <v>44</v>
      </c>
      <c r="C699" s="8">
        <v>40.05</v>
      </c>
      <c r="D699" s="8">
        <f>C699/4533.8/12*1000</f>
        <v>0.7361374564383077</v>
      </c>
      <c r="E699" s="1"/>
      <c r="F699" s="1"/>
      <c r="G699" s="1"/>
      <c r="H699" s="1"/>
    </row>
    <row r="700" spans="2:8" ht="12.75">
      <c r="B700" s="6" t="s">
        <v>16</v>
      </c>
      <c r="C700" s="8">
        <v>155.23</v>
      </c>
      <c r="D700" s="8">
        <f>C700/4533.8/12*1000</f>
        <v>2.8531989354037086</v>
      </c>
      <c r="E700" s="1"/>
      <c r="F700" s="1"/>
      <c r="G700" s="1"/>
      <c r="H700" s="1"/>
    </row>
    <row r="701" spans="2:8" ht="12.75">
      <c r="B701" s="10" t="s">
        <v>19</v>
      </c>
      <c r="C701" s="22">
        <f>SUM(C702:C706)</f>
        <v>176.38</v>
      </c>
      <c r="D701" s="22">
        <f>SUM(D702:D706)</f>
        <v>3.241945682062141</v>
      </c>
      <c r="E701" s="1"/>
      <c r="F701" s="1"/>
      <c r="G701" s="1"/>
      <c r="H701" s="1"/>
    </row>
    <row r="702" spans="2:8" ht="12.75">
      <c r="B702" s="6" t="s">
        <v>45</v>
      </c>
      <c r="C702" s="8">
        <f>121.55+24.55+12.3</f>
        <v>158.4</v>
      </c>
      <c r="D702" s="8">
        <f>C702/4533.8/12*1000</f>
        <v>2.9114649962503862</v>
      </c>
      <c r="E702" s="1"/>
      <c r="F702" s="1"/>
      <c r="G702" s="1"/>
      <c r="H702" s="1"/>
    </row>
    <row r="703" spans="2:8" ht="12.75">
      <c r="B703" s="6" t="s">
        <v>46</v>
      </c>
      <c r="C703" s="8">
        <v>0</v>
      </c>
      <c r="D703" s="8">
        <f>C703/4533.8/12*1000</f>
        <v>0</v>
      </c>
      <c r="E703" s="1"/>
      <c r="F703" s="1"/>
      <c r="G703" s="1"/>
      <c r="H703" s="1"/>
    </row>
    <row r="704" spans="2:8" ht="12.75">
      <c r="B704" s="20" t="s">
        <v>47</v>
      </c>
      <c r="C704" s="8">
        <v>3.1</v>
      </c>
      <c r="D704" s="8">
        <f>C704/4533.8/12*1000</f>
        <v>0.056979428588233565</v>
      </c>
      <c r="E704" s="1"/>
      <c r="F704" s="1"/>
      <c r="G704" s="1"/>
      <c r="H704" s="1"/>
    </row>
    <row r="705" spans="2:8" ht="12.75">
      <c r="B705" s="8" t="s">
        <v>48</v>
      </c>
      <c r="C705" s="8">
        <v>11.94</v>
      </c>
      <c r="D705" s="8">
        <f>C705/4533.8/12*1000</f>
        <v>0.21946270236887377</v>
      </c>
      <c r="E705" s="1"/>
      <c r="F705" s="1"/>
      <c r="G705" s="1"/>
      <c r="H705" s="1"/>
    </row>
    <row r="706" spans="2:8" ht="12.75">
      <c r="B706" s="8" t="s">
        <v>50</v>
      </c>
      <c r="C706" s="8">
        <v>2.94</v>
      </c>
      <c r="D706" s="8">
        <f>C706/4533.8/12*1000</f>
        <v>0.054038554854647314</v>
      </c>
      <c r="E706" s="1"/>
      <c r="F706" s="1"/>
      <c r="G706" s="1"/>
      <c r="H706" s="1"/>
    </row>
    <row r="707" spans="2:8" ht="12.75">
      <c r="B707" s="14" t="s">
        <v>27</v>
      </c>
      <c r="C707" s="14">
        <f>67.63+10.57</f>
        <v>78.19999999999999</v>
      </c>
      <c r="D707" s="14">
        <f>C707/4533.8/12*1000</f>
        <v>1.4373520372902788</v>
      </c>
      <c r="E707" s="1"/>
      <c r="F707" s="1"/>
      <c r="G707" s="1"/>
      <c r="H707" s="1"/>
    </row>
    <row r="708" spans="2:8" ht="12.75">
      <c r="B708" s="14"/>
      <c r="C708" s="14"/>
      <c r="D708" s="8"/>
      <c r="E708" s="1"/>
      <c r="F708" s="1"/>
      <c r="G708" s="1"/>
      <c r="H708" s="1"/>
    </row>
    <row r="709" spans="2:8" ht="12.75">
      <c r="B709" s="14" t="s">
        <v>29</v>
      </c>
      <c r="C709" s="14">
        <f>C696+C697+C701+C707+C708</f>
        <v>626.06</v>
      </c>
      <c r="D709" s="14">
        <f>D696+D697+D701+D707+D708</f>
        <v>11.507271310306292</v>
      </c>
      <c r="E709" s="1"/>
      <c r="F709" s="1"/>
      <c r="G709" s="1"/>
      <c r="H709" s="1"/>
    </row>
    <row r="710" spans="2:8" ht="12.75">
      <c r="B710" s="8" t="s">
        <v>51</v>
      </c>
      <c r="C710" s="8">
        <v>62.61</v>
      </c>
      <c r="D710" s="8">
        <f>C710/4533.8/12*1000</f>
        <v>1.150800652873969</v>
      </c>
      <c r="E710" s="1"/>
      <c r="F710" s="1"/>
      <c r="G710" s="1"/>
      <c r="H710" s="1"/>
    </row>
    <row r="711" spans="2:8" ht="12.75">
      <c r="B711" s="14" t="s">
        <v>31</v>
      </c>
      <c r="C711" s="23">
        <f>C709+C710</f>
        <v>688.67</v>
      </c>
      <c r="D711" s="23">
        <f>D709+D710</f>
        <v>12.65807196318026</v>
      </c>
      <c r="E711" s="1"/>
      <c r="F711" s="1"/>
      <c r="G711" s="1"/>
      <c r="H711" s="1"/>
    </row>
    <row r="712" spans="2:8" ht="12.75">
      <c r="B712" s="6" t="s">
        <v>34</v>
      </c>
      <c r="C712" s="23">
        <f>C711/C695/12*1000</f>
        <v>12.660026619017152</v>
      </c>
      <c r="D712" s="8"/>
      <c r="E712" s="1"/>
      <c r="F712" s="1"/>
      <c r="G712" s="1"/>
      <c r="H712" s="1"/>
    </row>
    <row r="713" spans="2:8" ht="12.75">
      <c r="B713" s="1"/>
      <c r="C713" s="1"/>
      <c r="D713" s="1"/>
      <c r="E713" s="1"/>
      <c r="F713" s="1"/>
      <c r="G713" s="1"/>
      <c r="H713" s="1"/>
    </row>
    <row r="714" spans="2:8" ht="12.75">
      <c r="B714" s="1" t="s">
        <v>52</v>
      </c>
      <c r="C714" s="1"/>
      <c r="D714" s="1"/>
      <c r="E714" s="1"/>
      <c r="F714" s="1"/>
      <c r="G714" s="1"/>
      <c r="H714" s="1"/>
    </row>
    <row r="715" spans="2:8" ht="12.75">
      <c r="B715" s="1"/>
      <c r="C715" s="1"/>
      <c r="D715" s="1"/>
      <c r="E715" s="1"/>
      <c r="F715" s="1"/>
      <c r="G715" s="1"/>
      <c r="H715" s="1"/>
    </row>
    <row r="716" spans="2:8" ht="12.75">
      <c r="B716" s="2" t="s">
        <v>0</v>
      </c>
      <c r="C716" s="2"/>
      <c r="D716" s="2"/>
      <c r="E716" s="1"/>
      <c r="F716" s="1"/>
      <c r="G716" s="1"/>
      <c r="H716" s="1"/>
    </row>
    <row r="717" spans="2:8" ht="12.75">
      <c r="B717" s="2" t="s">
        <v>65</v>
      </c>
      <c r="C717" s="2"/>
      <c r="D717" s="2"/>
      <c r="E717" s="1"/>
      <c r="F717" s="1"/>
      <c r="G717" s="1"/>
      <c r="H717" s="1"/>
    </row>
    <row r="718" spans="2:8" ht="12.75">
      <c r="B718" s="2" t="s">
        <v>87</v>
      </c>
      <c r="C718" s="2"/>
      <c r="D718" s="2"/>
      <c r="E718" s="1"/>
      <c r="F718" s="1"/>
      <c r="G718" s="1"/>
      <c r="H718" s="1"/>
    </row>
    <row r="719" spans="2:8" ht="12.75">
      <c r="B719" s="3"/>
      <c r="C719" s="3"/>
      <c r="D719" s="1"/>
      <c r="E719" s="1"/>
      <c r="F719" s="1"/>
      <c r="G719" s="1"/>
      <c r="H719" s="1"/>
    </row>
    <row r="720" spans="2:8" ht="12.75">
      <c r="B720" s="5" t="s">
        <v>4</v>
      </c>
      <c r="C720" s="31" t="s">
        <v>40</v>
      </c>
      <c r="D720" s="6" t="s">
        <v>41</v>
      </c>
      <c r="E720" s="1"/>
      <c r="F720" s="1"/>
      <c r="G720" s="1"/>
      <c r="H720" s="1"/>
    </row>
    <row r="721" spans="2:8" ht="12.75">
      <c r="B721" s="6"/>
      <c r="C721" s="6"/>
      <c r="D721" s="7"/>
      <c r="E721" s="1"/>
      <c r="F721" s="1"/>
      <c r="G721" s="1"/>
      <c r="H721" s="1"/>
    </row>
    <row r="722" spans="2:8" ht="12.75">
      <c r="B722" s="10" t="s">
        <v>42</v>
      </c>
      <c r="C722" s="8">
        <v>3765.7</v>
      </c>
      <c r="D722" s="8"/>
      <c r="E722" s="1"/>
      <c r="F722" s="1"/>
      <c r="G722" s="1"/>
      <c r="H722" s="1"/>
    </row>
    <row r="723" spans="2:8" ht="12.75">
      <c r="B723" s="11" t="s">
        <v>13</v>
      </c>
      <c r="C723" s="30">
        <v>77.23</v>
      </c>
      <c r="D723" s="8">
        <f>C723/3765.7/12*1000</f>
        <v>1.7090669286808122</v>
      </c>
      <c r="E723" s="1"/>
      <c r="F723" s="1"/>
      <c r="G723" s="1"/>
      <c r="H723" s="1"/>
    </row>
    <row r="724" spans="2:8" ht="12.75">
      <c r="B724" s="15" t="s">
        <v>14</v>
      </c>
      <c r="C724" s="9">
        <f>SUM(C725:C728)</f>
        <v>204.52</v>
      </c>
      <c r="D724" s="9">
        <f>SUM(D725:D728)</f>
        <v>4.5259402855600115</v>
      </c>
      <c r="E724" s="1"/>
      <c r="F724" s="1"/>
      <c r="G724" s="1"/>
      <c r="H724" s="1"/>
    </row>
    <row r="725" spans="2:8" ht="12.75">
      <c r="B725" s="6" t="s">
        <v>43</v>
      </c>
      <c r="C725" s="8">
        <f>29.37+39.76</f>
        <v>69.13</v>
      </c>
      <c r="D725" s="8">
        <f>C725/3765.7/12*1000</f>
        <v>1.5298173867629745</v>
      </c>
      <c r="E725" s="1"/>
      <c r="F725" s="1"/>
      <c r="G725" s="1"/>
      <c r="H725" s="1"/>
    </row>
    <row r="726" spans="2:8" ht="12.75">
      <c r="B726" s="17" t="s">
        <v>44</v>
      </c>
      <c r="C726" s="8">
        <v>33.27</v>
      </c>
      <c r="D726" s="8">
        <f>C726/3765.7/12*1000</f>
        <v>0.7362508962477097</v>
      </c>
      <c r="E726" s="1"/>
      <c r="F726" s="1"/>
      <c r="G726" s="1"/>
      <c r="H726" s="1"/>
    </row>
    <row r="727" spans="2:8" ht="12.75">
      <c r="B727" s="6" t="s">
        <v>16</v>
      </c>
      <c r="C727" s="8">
        <v>102.12</v>
      </c>
      <c r="D727" s="8">
        <f>C727/3765.7/12*1000</f>
        <v>2.259872002549327</v>
      </c>
      <c r="E727" s="1"/>
      <c r="F727" s="1"/>
      <c r="G727" s="1"/>
      <c r="H727" s="1"/>
    </row>
    <row r="728" spans="2:8" ht="12.75">
      <c r="B728" s="6" t="s">
        <v>64</v>
      </c>
      <c r="C728" s="8"/>
      <c r="D728" s="8">
        <f>C728/3765.7/12*1000</f>
        <v>0</v>
      </c>
      <c r="E728" s="1"/>
      <c r="F728" s="1"/>
      <c r="G728" s="1"/>
      <c r="H728" s="1"/>
    </row>
    <row r="729" spans="2:8" ht="12.75">
      <c r="B729" s="10" t="s">
        <v>19</v>
      </c>
      <c r="C729" s="22">
        <f>SUM(C730:C734)</f>
        <v>173.38</v>
      </c>
      <c r="D729" s="22">
        <f>SUM(D730:D734)</f>
        <v>3.8368253799647696</v>
      </c>
      <c r="E729" s="1"/>
      <c r="F729" s="1"/>
      <c r="G729" s="1"/>
      <c r="H729" s="1"/>
    </row>
    <row r="730" spans="2:8" ht="12.75">
      <c r="B730" s="6" t="s">
        <v>45</v>
      </c>
      <c r="C730" s="8">
        <f>121.12+24.47+12.26</f>
        <v>157.85</v>
      </c>
      <c r="D730" s="8">
        <f>C730/3765.7/12*1000</f>
        <v>3.4931531100902</v>
      </c>
      <c r="E730" s="1"/>
      <c r="F730" s="1"/>
      <c r="G730" s="1"/>
      <c r="H730" s="1"/>
    </row>
    <row r="731" spans="2:8" ht="12.75">
      <c r="B731" s="6" t="s">
        <v>46</v>
      </c>
      <c r="C731" s="8">
        <v>0</v>
      </c>
      <c r="D731" s="8">
        <f>C731/3765.7/12*1000</f>
        <v>0</v>
      </c>
      <c r="E731" s="1"/>
      <c r="F731" s="1"/>
      <c r="G731" s="1"/>
      <c r="H731" s="1"/>
    </row>
    <row r="732" spans="2:8" ht="12.75">
      <c r="B732" s="20" t="s">
        <v>47</v>
      </c>
      <c r="C732" s="8">
        <v>2.95</v>
      </c>
      <c r="D732" s="8">
        <f>C732/3765.7/12*1000</f>
        <v>0.06528224057501485</v>
      </c>
      <c r="E732" s="1"/>
      <c r="F732" s="1"/>
      <c r="G732" s="1"/>
      <c r="H732" s="1"/>
    </row>
    <row r="733" spans="2:8" ht="12.75">
      <c r="B733" s="8" t="s">
        <v>48</v>
      </c>
      <c r="C733" s="8">
        <v>10.35</v>
      </c>
      <c r="D733" s="8">
        <f>C733/3765.7/12*1000</f>
        <v>0.22904108133945883</v>
      </c>
      <c r="E733" s="1"/>
      <c r="F733" s="1"/>
      <c r="G733" s="1"/>
      <c r="H733" s="1"/>
    </row>
    <row r="734" spans="2:8" ht="12.75">
      <c r="B734" s="8" t="s">
        <v>50</v>
      </c>
      <c r="C734" s="8">
        <v>2.23</v>
      </c>
      <c r="D734" s="8">
        <f>C734/3765.7/12*1000</f>
        <v>0.04934894796009596</v>
      </c>
      <c r="E734" s="1"/>
      <c r="F734" s="1"/>
      <c r="G734" s="1"/>
      <c r="H734" s="1"/>
    </row>
    <row r="735" spans="2:8" ht="12.75">
      <c r="B735" s="14" t="s">
        <v>27</v>
      </c>
      <c r="C735" s="14">
        <f>56.18+8.78</f>
        <v>64.96</v>
      </c>
      <c r="D735" s="14">
        <f>C735/3765.7/12*1000</f>
        <v>1.4375370670349028</v>
      </c>
      <c r="E735" s="1"/>
      <c r="F735" s="1"/>
      <c r="G735" s="1"/>
      <c r="H735" s="1"/>
    </row>
    <row r="736" spans="2:8" ht="12.75">
      <c r="B736" s="14"/>
      <c r="C736" s="14"/>
      <c r="D736" s="8"/>
      <c r="E736" s="1"/>
      <c r="F736" s="1"/>
      <c r="G736" s="1"/>
      <c r="H736" s="1"/>
    </row>
    <row r="737" spans="2:8" ht="12.75">
      <c r="B737" s="14" t="s">
        <v>29</v>
      </c>
      <c r="C737" s="14">
        <f>C723+C724+C729+C735+C736</f>
        <v>520.09</v>
      </c>
      <c r="D737" s="14">
        <f>D723+D724+D729+D735+D736</f>
        <v>11.509369661240497</v>
      </c>
      <c r="E737" s="1"/>
      <c r="F737" s="1"/>
      <c r="G737" s="1"/>
      <c r="H737" s="1"/>
    </row>
    <row r="738" spans="2:8" ht="12.75">
      <c r="B738" s="8" t="s">
        <v>51</v>
      </c>
      <c r="C738" s="8">
        <v>52.01</v>
      </c>
      <c r="D738" s="8">
        <f>C738/3765.7/12*1000</f>
        <v>1.1509590956971258</v>
      </c>
      <c r="E738" s="1"/>
      <c r="F738" s="1"/>
      <c r="G738" s="1"/>
      <c r="H738" s="1"/>
    </row>
    <row r="739" spans="2:8" ht="12.75">
      <c r="B739" s="14" t="s">
        <v>31</v>
      </c>
      <c r="C739" s="23">
        <f>C737+C738</f>
        <v>572.1</v>
      </c>
      <c r="D739" s="23">
        <f>D737+D738</f>
        <v>12.660328756937622</v>
      </c>
      <c r="E739" s="1"/>
      <c r="F739" s="1"/>
      <c r="G739" s="1"/>
      <c r="H739" s="1"/>
    </row>
    <row r="740" spans="2:8" ht="12.75">
      <c r="B740" s="6" t="s">
        <v>34</v>
      </c>
      <c r="C740" s="23">
        <f>C739/C722/12*1000</f>
        <v>12.660328756937622</v>
      </c>
      <c r="D740" s="8"/>
      <c r="E740" s="1"/>
      <c r="F740" s="1"/>
      <c r="G740" s="1"/>
      <c r="H740" s="1"/>
    </row>
    <row r="741" spans="2:8" ht="12.75">
      <c r="B741" s="1"/>
      <c r="C741" s="1"/>
      <c r="D741" s="1"/>
      <c r="E741" s="1"/>
      <c r="F741" s="1"/>
      <c r="G741" s="1"/>
      <c r="H741" s="1"/>
    </row>
    <row r="742" spans="2:8" ht="12.75">
      <c r="B742" s="1" t="s">
        <v>52</v>
      </c>
      <c r="C742" s="1"/>
      <c r="D742" s="1"/>
      <c r="E742" s="1"/>
      <c r="F742" s="1"/>
      <c r="G742" s="1"/>
      <c r="H742" s="1"/>
    </row>
    <row r="743" spans="2:8" ht="12.75">
      <c r="B743" s="1"/>
      <c r="C743" s="1"/>
      <c r="D743" s="1"/>
      <c r="E743" s="1"/>
      <c r="F743" s="1"/>
      <c r="G743" s="1"/>
      <c r="H743" s="1"/>
    </row>
    <row r="744" spans="2:8" ht="12.75">
      <c r="B744" s="2" t="s">
        <v>0</v>
      </c>
      <c r="C744" s="2"/>
      <c r="D744" s="2"/>
      <c r="E744" s="1"/>
      <c r="F744" s="1"/>
      <c r="G744" s="1"/>
      <c r="H744" s="1"/>
    </row>
    <row r="745" spans="2:8" ht="12.75">
      <c r="B745" s="2" t="s">
        <v>65</v>
      </c>
      <c r="C745" s="2"/>
      <c r="D745" s="2"/>
      <c r="E745" s="1"/>
      <c r="F745" s="1"/>
      <c r="G745" s="1"/>
      <c r="H745" s="1"/>
    </row>
    <row r="746" spans="2:8" ht="12.75">
      <c r="B746" s="2" t="s">
        <v>88</v>
      </c>
      <c r="C746" s="2"/>
      <c r="D746" s="2"/>
      <c r="E746" s="1"/>
      <c r="F746" s="1"/>
      <c r="G746" s="1"/>
      <c r="H746" s="1"/>
    </row>
    <row r="747" spans="2:8" ht="12.75">
      <c r="B747" s="3"/>
      <c r="C747" s="3"/>
      <c r="D747" s="1"/>
      <c r="E747" s="1"/>
      <c r="F747" s="1"/>
      <c r="G747" s="1"/>
      <c r="H747" s="1"/>
    </row>
    <row r="748" spans="2:8" ht="12.75">
      <c r="B748" s="5" t="s">
        <v>4</v>
      </c>
      <c r="C748" s="6" t="s">
        <v>63</v>
      </c>
      <c r="D748" s="6" t="s">
        <v>41</v>
      </c>
      <c r="E748" s="1"/>
      <c r="F748" s="1"/>
      <c r="G748" s="1"/>
      <c r="H748" s="1"/>
    </row>
    <row r="749" spans="2:8" ht="12.75">
      <c r="B749" s="6"/>
      <c r="C749" s="6"/>
      <c r="D749" s="7"/>
      <c r="E749" s="1"/>
      <c r="F749" s="1"/>
      <c r="G749" s="1"/>
      <c r="H749" s="1"/>
    </row>
    <row r="750" spans="2:8" ht="12.75">
      <c r="B750" s="10" t="s">
        <v>42</v>
      </c>
      <c r="C750" s="8">
        <v>376.2</v>
      </c>
      <c r="D750" s="8"/>
      <c r="E750" s="1"/>
      <c r="F750" s="1"/>
      <c r="G750" s="1"/>
      <c r="H750" s="1"/>
    </row>
    <row r="751" spans="2:8" ht="12.75">
      <c r="B751" s="11" t="s">
        <v>13</v>
      </c>
      <c r="C751" s="30">
        <v>7.72</v>
      </c>
      <c r="D751" s="8">
        <f>C751/376.2/12*1000</f>
        <v>1.7100832890306572</v>
      </c>
      <c r="E751" s="1"/>
      <c r="F751" s="1"/>
      <c r="G751" s="1"/>
      <c r="H751" s="1"/>
    </row>
    <row r="752" spans="2:8" ht="12.75">
      <c r="B752" s="15" t="s">
        <v>14</v>
      </c>
      <c r="C752" s="9">
        <f>SUM(C753:C755)</f>
        <v>18.1</v>
      </c>
      <c r="D752" s="9">
        <f>SUM(D753:D755)</f>
        <v>4.009392167286904</v>
      </c>
      <c r="E752" s="1"/>
      <c r="F752" s="1"/>
      <c r="G752" s="1"/>
      <c r="H752" s="1"/>
    </row>
    <row r="753" spans="2:8" ht="12.75">
      <c r="B753" s="6" t="s">
        <v>43</v>
      </c>
      <c r="C753" s="8">
        <f>2.93+3.97</f>
        <v>6.9</v>
      </c>
      <c r="D753" s="8">
        <f>C753/376.2/12*1000</f>
        <v>1.5284423179160023</v>
      </c>
      <c r="E753" s="1"/>
      <c r="F753" s="1"/>
      <c r="G753" s="1"/>
      <c r="H753" s="1"/>
    </row>
    <row r="754" spans="2:8" ht="12.75">
      <c r="B754" s="17" t="s">
        <v>44</v>
      </c>
      <c r="C754" s="8">
        <v>3.32</v>
      </c>
      <c r="D754" s="8">
        <f>C754/376.2/12*1000</f>
        <v>0.735424419634946</v>
      </c>
      <c r="E754" s="1"/>
      <c r="F754" s="1"/>
      <c r="G754" s="1"/>
      <c r="H754" s="1"/>
    </row>
    <row r="755" spans="2:8" ht="12.75">
      <c r="B755" s="6" t="s">
        <v>16</v>
      </c>
      <c r="C755" s="8">
        <v>7.88</v>
      </c>
      <c r="D755" s="8">
        <f>C755/376.2/12*1000</f>
        <v>1.7455254297359561</v>
      </c>
      <c r="E755" s="1"/>
      <c r="F755" s="1"/>
      <c r="G755" s="1"/>
      <c r="H755" s="1"/>
    </row>
    <row r="756" spans="2:8" ht="12.75">
      <c r="B756" s="10" t="s">
        <v>19</v>
      </c>
      <c r="C756" s="22">
        <f>SUM(C757:C761)</f>
        <v>19.639999999999997</v>
      </c>
      <c r="D756" s="22">
        <f>SUM(D757:D761)</f>
        <v>4.350522771575404</v>
      </c>
      <c r="E756" s="1"/>
      <c r="F756" s="1"/>
      <c r="G756" s="1"/>
      <c r="H756" s="1"/>
    </row>
    <row r="757" spans="2:8" ht="12.75">
      <c r="B757" s="6" t="s">
        <v>45</v>
      </c>
      <c r="C757" s="8"/>
      <c r="D757" s="8">
        <f>C757/376.2/12*1000</f>
        <v>0</v>
      </c>
      <c r="E757" s="1"/>
      <c r="F757" s="1"/>
      <c r="G757" s="1"/>
      <c r="H757" s="1"/>
    </row>
    <row r="758" spans="2:8" ht="12.75">
      <c r="B758" s="6" t="s">
        <v>46</v>
      </c>
      <c r="C758" s="8"/>
      <c r="D758" s="8">
        <f>C758/376.2/12*1000</f>
        <v>0</v>
      </c>
      <c r="E758" s="1"/>
      <c r="F758" s="1"/>
      <c r="G758" s="1"/>
      <c r="H758" s="1"/>
    </row>
    <row r="759" spans="2:8" ht="12.75">
      <c r="B759" s="8" t="s">
        <v>48</v>
      </c>
      <c r="C759" s="8">
        <v>1.06</v>
      </c>
      <c r="D759" s="8">
        <f>C759/376.2/12*1000</f>
        <v>0.23480418217260324</v>
      </c>
      <c r="E759" s="1"/>
      <c r="F759" s="1"/>
      <c r="G759" s="1"/>
      <c r="H759" s="1"/>
    </row>
    <row r="760" spans="2:8" ht="12.75">
      <c r="B760" s="8" t="s">
        <v>67</v>
      </c>
      <c r="C760" s="8">
        <v>18.24</v>
      </c>
      <c r="D760" s="8">
        <f>C760/376.2/12*1000</f>
        <v>4.040404040404041</v>
      </c>
      <c r="E760" s="1"/>
      <c r="F760" s="1"/>
      <c r="G760" s="1"/>
      <c r="H760" s="1"/>
    </row>
    <row r="761" spans="2:8" ht="12.75">
      <c r="B761" s="8" t="s">
        <v>50</v>
      </c>
      <c r="C761" s="8">
        <v>0.34</v>
      </c>
      <c r="D761" s="8">
        <f>C761/376.2/12*1000</f>
        <v>0.07531454899875953</v>
      </c>
      <c r="E761" s="1"/>
      <c r="F761" s="1"/>
      <c r="G761" s="1"/>
      <c r="H761" s="1"/>
    </row>
    <row r="762" spans="2:8" ht="12.75">
      <c r="B762" s="14" t="s">
        <v>27</v>
      </c>
      <c r="C762" s="14">
        <f>5.61+0.88</f>
        <v>6.49</v>
      </c>
      <c r="D762" s="14">
        <f>C762/376.2/12*1000</f>
        <v>1.4376218323586745</v>
      </c>
      <c r="E762" s="1"/>
      <c r="F762" s="1"/>
      <c r="G762" s="1"/>
      <c r="H762" s="1"/>
    </row>
    <row r="763" spans="2:8" ht="12.75">
      <c r="B763" s="14"/>
      <c r="C763" s="14"/>
      <c r="D763" s="8"/>
      <c r="E763" s="1"/>
      <c r="F763" s="1"/>
      <c r="G763" s="1"/>
      <c r="H763" s="1"/>
    </row>
    <row r="764" spans="2:8" ht="12.75">
      <c r="B764" s="14" t="s">
        <v>29</v>
      </c>
      <c r="C764" s="14">
        <f>C751+C752+C756+C762+C763</f>
        <v>51.949999999999996</v>
      </c>
      <c r="D764" s="14">
        <f>D751+D752+D756+D762+D763</f>
        <v>11.507620060251641</v>
      </c>
      <c r="E764" s="1"/>
      <c r="F764" s="1"/>
      <c r="G764" s="1"/>
      <c r="H764" s="1"/>
    </row>
    <row r="765" spans="2:8" ht="12.75">
      <c r="B765" s="8" t="s">
        <v>51</v>
      </c>
      <c r="C765" s="8">
        <v>5.2</v>
      </c>
      <c r="D765" s="8">
        <f>C765/376.2/12*1000</f>
        <v>1.1518695729222046</v>
      </c>
      <c r="E765" s="1"/>
      <c r="F765" s="1"/>
      <c r="G765" s="1"/>
      <c r="H765" s="1"/>
    </row>
    <row r="766" spans="2:8" ht="12.75">
      <c r="B766" s="14" t="s">
        <v>31</v>
      </c>
      <c r="C766" s="23">
        <f>C764+C765</f>
        <v>57.15</v>
      </c>
      <c r="D766" s="23">
        <f>D764+D765</f>
        <v>12.659489633173846</v>
      </c>
      <c r="E766" s="1"/>
      <c r="F766" s="1"/>
      <c r="G766" s="1"/>
      <c r="H766" s="1"/>
    </row>
    <row r="767" spans="2:8" ht="12.75">
      <c r="B767" s="6" t="s">
        <v>34</v>
      </c>
      <c r="C767" s="23">
        <f>C766/C750/12*1000</f>
        <v>12.659489633173843</v>
      </c>
      <c r="D767" s="8"/>
      <c r="E767" s="1"/>
      <c r="F767" s="1"/>
      <c r="G767" s="1"/>
      <c r="H767" s="1"/>
    </row>
    <row r="768" spans="2:8" ht="12.75">
      <c r="B768" s="1"/>
      <c r="C768" s="1"/>
      <c r="D768" s="1"/>
      <c r="E768" s="1"/>
      <c r="F768" s="1"/>
      <c r="G768" s="1"/>
      <c r="H768" s="1"/>
    </row>
    <row r="769" spans="2:8" ht="12.75">
      <c r="B769" s="1" t="s">
        <v>52</v>
      </c>
      <c r="C769" s="1"/>
      <c r="D769" s="1"/>
      <c r="E769" s="1"/>
      <c r="F769" s="1"/>
      <c r="G769" s="1"/>
      <c r="H769" s="1"/>
    </row>
    <row r="770" spans="2:8" ht="12.75">
      <c r="B770" s="1"/>
      <c r="C770" s="1"/>
      <c r="D770" s="1"/>
      <c r="E770" s="1"/>
      <c r="F770" s="1"/>
      <c r="G770" s="1"/>
      <c r="H770" s="1"/>
    </row>
    <row r="771" spans="2:8" ht="12.75">
      <c r="B771" s="2" t="s">
        <v>0</v>
      </c>
      <c r="C771" s="2"/>
      <c r="D771" s="2"/>
      <c r="E771" s="1"/>
      <c r="F771" s="1"/>
      <c r="G771" s="1"/>
      <c r="H771" s="1"/>
    </row>
    <row r="772" spans="2:8" ht="12.75">
      <c r="B772" s="2" t="s">
        <v>65</v>
      </c>
      <c r="C772" s="2"/>
      <c r="D772" s="2"/>
      <c r="E772" s="1"/>
      <c r="F772" s="1"/>
      <c r="G772" s="1"/>
      <c r="H772" s="1"/>
    </row>
    <row r="773" spans="2:8" ht="12.75">
      <c r="B773" s="2" t="s">
        <v>89</v>
      </c>
      <c r="C773" s="2"/>
      <c r="D773" s="2"/>
      <c r="E773" s="1"/>
      <c r="F773" s="1"/>
      <c r="G773" s="1"/>
      <c r="H773" s="1"/>
    </row>
    <row r="774" spans="2:8" ht="12.75">
      <c r="B774" s="3"/>
      <c r="C774" s="3"/>
      <c r="D774" s="1"/>
      <c r="E774" s="1"/>
      <c r="F774" s="1"/>
      <c r="G774" s="1"/>
      <c r="H774" s="1"/>
    </row>
    <row r="775" spans="2:8" ht="12.75">
      <c r="B775" s="5" t="s">
        <v>4</v>
      </c>
      <c r="C775" s="31" t="s">
        <v>40</v>
      </c>
      <c r="D775" s="6" t="s">
        <v>41</v>
      </c>
      <c r="E775" s="1"/>
      <c r="F775" s="1"/>
      <c r="G775" s="1"/>
      <c r="H775" s="1"/>
    </row>
    <row r="776" spans="2:8" ht="12.75">
      <c r="B776" s="6"/>
      <c r="C776" s="6"/>
      <c r="D776" s="7"/>
      <c r="E776" s="1"/>
      <c r="F776" s="1"/>
      <c r="G776" s="1"/>
      <c r="H776" s="1"/>
    </row>
    <row r="777" spans="2:8" ht="12.75">
      <c r="B777" s="10" t="s">
        <v>42</v>
      </c>
      <c r="C777" s="8">
        <v>423.19</v>
      </c>
      <c r="D777" s="8"/>
      <c r="E777" s="1"/>
      <c r="F777" s="1"/>
      <c r="G777" s="1"/>
      <c r="H777" s="1"/>
    </row>
    <row r="778" spans="2:8" ht="12.75">
      <c r="B778" s="11" t="s">
        <v>13</v>
      </c>
      <c r="C778" s="32">
        <v>8.68</v>
      </c>
      <c r="D778" s="14">
        <f>C778/423.19/12*1000</f>
        <v>1.7092401364241436</v>
      </c>
      <c r="E778" s="1"/>
      <c r="F778" s="1"/>
      <c r="G778" s="1"/>
      <c r="H778" s="1"/>
    </row>
    <row r="779" spans="2:8" ht="12.75">
      <c r="B779" s="15" t="s">
        <v>14</v>
      </c>
      <c r="C779" s="9">
        <f>SUM(C780:C782)</f>
        <v>16.32</v>
      </c>
      <c r="D779" s="9">
        <f>SUM(D780:D782)</f>
        <v>3.213686523783643</v>
      </c>
      <c r="E779" s="1"/>
      <c r="F779" s="1"/>
      <c r="G779" s="1"/>
      <c r="H779" s="1"/>
    </row>
    <row r="780" spans="2:8" ht="12.75">
      <c r="B780" s="6" t="s">
        <v>43</v>
      </c>
      <c r="C780" s="8">
        <f>3.3+4.47</f>
        <v>7.77</v>
      </c>
      <c r="D780" s="8">
        <f>C780/423.19/12*1000</f>
        <v>1.53004560599258</v>
      </c>
      <c r="E780" s="1"/>
      <c r="F780" s="1"/>
      <c r="G780" s="1"/>
      <c r="H780" s="1"/>
    </row>
    <row r="781" spans="2:8" ht="12.75">
      <c r="B781" s="17" t="s">
        <v>44</v>
      </c>
      <c r="C781" s="8">
        <v>3.74</v>
      </c>
      <c r="D781" s="8">
        <f>C781/423.19/12*1000</f>
        <v>0.736469828367085</v>
      </c>
      <c r="E781" s="1"/>
      <c r="F781" s="1"/>
      <c r="G781" s="1"/>
      <c r="H781" s="1"/>
    </row>
    <row r="782" spans="2:8" ht="12.75">
      <c r="B782" s="6" t="s">
        <v>16</v>
      </c>
      <c r="C782" s="8">
        <v>4.8100000000000005</v>
      </c>
      <c r="D782" s="8">
        <f>C782/423.19/12*1000</f>
        <v>0.9471710894239783</v>
      </c>
      <c r="E782" s="1"/>
      <c r="F782" s="1"/>
      <c r="G782" s="1"/>
      <c r="H782" s="1"/>
    </row>
    <row r="783" spans="2:8" ht="12.75">
      <c r="B783" s="10" t="s">
        <v>19</v>
      </c>
      <c r="C783" s="22">
        <f>SUM(C784:C786)</f>
        <v>26.15</v>
      </c>
      <c r="D783" s="22">
        <f>SUM(D784:D786)</f>
        <v>5.149381286577345</v>
      </c>
      <c r="E783" s="1"/>
      <c r="F783" s="1"/>
      <c r="G783" s="1"/>
      <c r="H783" s="1"/>
    </row>
    <row r="784" spans="2:8" ht="12.75">
      <c r="B784" s="6" t="s">
        <v>45</v>
      </c>
      <c r="C784" s="8">
        <f>19.13+3.86+1.94</f>
        <v>24.93</v>
      </c>
      <c r="D784" s="8">
        <f>C784/423.19/12*1000</f>
        <v>4.909142465559205</v>
      </c>
      <c r="E784" s="1"/>
      <c r="F784" s="1"/>
      <c r="G784" s="1"/>
      <c r="H784" s="1"/>
    </row>
    <row r="785" spans="2:8" ht="12.75">
      <c r="B785" s="8" t="s">
        <v>48</v>
      </c>
      <c r="C785" s="8">
        <v>1.06</v>
      </c>
      <c r="D785" s="8">
        <f>C785/423.19/12*1000</f>
        <v>0.20873209039281018</v>
      </c>
      <c r="E785" s="1"/>
      <c r="F785" s="1"/>
      <c r="G785" s="1"/>
      <c r="H785" s="1"/>
    </row>
    <row r="786" spans="2:8" ht="12.75">
      <c r="B786" s="8" t="s">
        <v>50</v>
      </c>
      <c r="C786" s="8">
        <v>0.16</v>
      </c>
      <c r="D786" s="8">
        <f>C786/423.19/12*1000</f>
        <v>0.03150673062532983</v>
      </c>
      <c r="E786" s="1"/>
      <c r="F786" s="1"/>
      <c r="G786" s="1"/>
      <c r="H786" s="1"/>
    </row>
    <row r="787" spans="2:8" ht="12.75">
      <c r="B787" s="14" t="s">
        <v>27</v>
      </c>
      <c r="C787" s="14">
        <f>6.31+0.99</f>
        <v>7.3</v>
      </c>
      <c r="D787" s="14">
        <f>C787/423.19/12*1000</f>
        <v>1.4374945847806737</v>
      </c>
      <c r="E787" s="1"/>
      <c r="F787" s="1"/>
      <c r="G787" s="1"/>
      <c r="H787" s="1"/>
    </row>
    <row r="788" spans="2:8" ht="12.75">
      <c r="B788" s="14"/>
      <c r="C788" s="14"/>
      <c r="D788" s="14"/>
      <c r="E788" s="1"/>
      <c r="F788" s="1"/>
      <c r="G788" s="1"/>
      <c r="H788" s="1"/>
    </row>
    <row r="789" spans="2:8" ht="12.75">
      <c r="B789" s="14" t="s">
        <v>29</v>
      </c>
      <c r="C789" s="14">
        <f>C778+C779+C783+C787+C788</f>
        <v>58.449999999999996</v>
      </c>
      <c r="D789" s="14">
        <f>D778+D779+D783+D787+D788</f>
        <v>11.509802531565803</v>
      </c>
      <c r="E789" s="1"/>
      <c r="F789" s="1"/>
      <c r="G789" s="1"/>
      <c r="H789" s="1"/>
    </row>
    <row r="790" spans="2:8" ht="12.75">
      <c r="B790" s="8" t="s">
        <v>51</v>
      </c>
      <c r="C790" s="8">
        <v>5.85</v>
      </c>
      <c r="D790" s="8">
        <f>C790/423.19/12*1000</f>
        <v>1.151964838488622</v>
      </c>
      <c r="E790" s="1"/>
      <c r="F790" s="1"/>
      <c r="G790" s="1"/>
      <c r="H790" s="1"/>
    </row>
    <row r="791" spans="2:8" ht="12.75">
      <c r="B791" s="14" t="s">
        <v>31</v>
      </c>
      <c r="C791" s="23">
        <f>C789+C790</f>
        <v>64.3</v>
      </c>
      <c r="D791" s="23">
        <f>D789+D790</f>
        <v>12.661767370054426</v>
      </c>
      <c r="E791" s="1"/>
      <c r="F791" s="1"/>
      <c r="G791" s="1"/>
      <c r="H791" s="1"/>
    </row>
    <row r="792" spans="2:8" ht="12.75">
      <c r="B792" s="6" t="s">
        <v>34</v>
      </c>
      <c r="C792" s="23">
        <f>C791/C777/12*1000</f>
        <v>12.661767370054427</v>
      </c>
      <c r="D792" s="8"/>
      <c r="E792" s="1"/>
      <c r="F792" s="1"/>
      <c r="G792" s="1"/>
      <c r="H792" s="1"/>
    </row>
    <row r="793" spans="2:8" ht="12.75">
      <c r="B793" s="1"/>
      <c r="C793" s="1"/>
      <c r="D793" s="1"/>
      <c r="E793" s="1"/>
      <c r="F793" s="1"/>
      <c r="G793" s="1"/>
      <c r="H793" s="1"/>
    </row>
    <row r="794" spans="2:8" ht="12.75">
      <c r="B794" s="1" t="s">
        <v>52</v>
      </c>
      <c r="C794" s="1"/>
      <c r="D794" s="1"/>
      <c r="E794" s="1"/>
      <c r="F794" s="1"/>
      <c r="G794" s="1"/>
      <c r="H794" s="1"/>
    </row>
    <row r="795" spans="2:8" ht="12.75">
      <c r="B795" s="1"/>
      <c r="C795" s="1"/>
      <c r="D795" s="1"/>
      <c r="E795" s="1"/>
      <c r="F795" s="1"/>
      <c r="G795" s="1"/>
      <c r="H795" s="1"/>
    </row>
    <row r="796" spans="2:8" ht="12.75">
      <c r="B796" s="2" t="s">
        <v>0</v>
      </c>
      <c r="C796" s="2"/>
      <c r="D796" s="2"/>
      <c r="E796" s="1"/>
      <c r="F796" s="1"/>
      <c r="G796" s="1"/>
      <c r="H796" s="1"/>
    </row>
    <row r="797" spans="2:8" ht="12.75">
      <c r="B797" s="2" t="s">
        <v>65</v>
      </c>
      <c r="C797" s="2"/>
      <c r="D797" s="2"/>
      <c r="E797" s="1"/>
      <c r="F797" s="1"/>
      <c r="G797" s="1"/>
      <c r="H797" s="1"/>
    </row>
    <row r="798" spans="2:8" ht="12.75">
      <c r="B798" s="2" t="s">
        <v>90</v>
      </c>
      <c r="C798" s="2"/>
      <c r="D798" s="2"/>
      <c r="E798" s="1"/>
      <c r="F798" s="1"/>
      <c r="G798" s="1"/>
      <c r="H798" s="1"/>
    </row>
    <row r="799" spans="2:8" ht="12.75">
      <c r="B799" s="3"/>
      <c r="C799" s="3"/>
      <c r="D799" s="1"/>
      <c r="E799" s="1"/>
      <c r="F799" s="1"/>
      <c r="G799" s="1"/>
      <c r="H799" s="1"/>
    </row>
    <row r="800" spans="2:8" ht="12.75">
      <c r="B800" s="5" t="s">
        <v>4</v>
      </c>
      <c r="C800" s="31" t="s">
        <v>40</v>
      </c>
      <c r="D800" s="6" t="s">
        <v>41</v>
      </c>
      <c r="E800" s="1"/>
      <c r="F800" s="1"/>
      <c r="G800" s="1"/>
      <c r="H800" s="1"/>
    </row>
    <row r="801" spans="2:8" ht="12.75">
      <c r="B801" s="6"/>
      <c r="C801" s="6"/>
      <c r="D801" s="7"/>
      <c r="E801" s="1"/>
      <c r="F801" s="1"/>
      <c r="G801" s="1"/>
      <c r="H801" s="1"/>
    </row>
    <row r="802" spans="2:8" ht="12.75">
      <c r="B802" s="10" t="s">
        <v>42</v>
      </c>
      <c r="C802" s="8">
        <v>371.6</v>
      </c>
      <c r="D802" s="8"/>
      <c r="E802" s="1"/>
      <c r="F802" s="1"/>
      <c r="G802" s="1"/>
      <c r="H802" s="1"/>
    </row>
    <row r="803" spans="2:8" ht="12.75">
      <c r="B803" s="11" t="s">
        <v>13</v>
      </c>
      <c r="C803" s="30">
        <v>7.62</v>
      </c>
      <c r="D803" s="8">
        <f>C803/371.6/12*1000</f>
        <v>1.708826695371367</v>
      </c>
      <c r="E803" s="1"/>
      <c r="F803" s="1"/>
      <c r="G803" s="1"/>
      <c r="H803" s="1"/>
    </row>
    <row r="804" spans="2:8" ht="12.75">
      <c r="B804" s="15" t="s">
        <v>14</v>
      </c>
      <c r="C804" s="9">
        <f>SUM(C805:C807)</f>
        <v>17.630000000000003</v>
      </c>
      <c r="D804" s="9">
        <f>SUM(D805:D807)</f>
        <v>3.9536239684248295</v>
      </c>
      <c r="E804" s="1"/>
      <c r="F804" s="1"/>
      <c r="G804" s="1"/>
      <c r="H804" s="1"/>
    </row>
    <row r="805" spans="2:8" ht="12.75">
      <c r="B805" s="6" t="s">
        <v>43</v>
      </c>
      <c r="C805" s="8">
        <f>2.9+3.92</f>
        <v>6.82</v>
      </c>
      <c r="D805" s="8">
        <f>C805/371.6/12*1000</f>
        <v>1.5294223179045567</v>
      </c>
      <c r="E805" s="1"/>
      <c r="F805" s="1"/>
      <c r="G805" s="1"/>
      <c r="H805" s="1"/>
    </row>
    <row r="806" spans="2:8" ht="12.75">
      <c r="B806" s="17" t="s">
        <v>44</v>
      </c>
      <c r="C806" s="8">
        <v>3.28</v>
      </c>
      <c r="D806" s="8">
        <f>C806/371.6/12*1000</f>
        <v>0.7355579476139218</v>
      </c>
      <c r="E806" s="1"/>
      <c r="F806" s="1"/>
      <c r="G806" s="1"/>
      <c r="H806" s="1"/>
    </row>
    <row r="807" spans="2:8" ht="12.75">
      <c r="B807" s="6" t="s">
        <v>16</v>
      </c>
      <c r="C807" s="8">
        <v>7.53</v>
      </c>
      <c r="D807" s="8">
        <f>C807/371.6/12*1000</f>
        <v>1.688643702906351</v>
      </c>
      <c r="E807" s="1"/>
      <c r="F807" s="1"/>
      <c r="G807" s="1"/>
      <c r="H807" s="1"/>
    </row>
    <row r="808" spans="2:8" ht="12.75">
      <c r="B808" s="10" t="s">
        <v>19</v>
      </c>
      <c r="C808" s="22">
        <f>SUM(C809:C812)</f>
        <v>19.650000000000002</v>
      </c>
      <c r="D808" s="22">
        <f>SUM(D809:D812)</f>
        <v>4.406620021528526</v>
      </c>
      <c r="E808" s="1"/>
      <c r="F808" s="1"/>
      <c r="G808" s="1"/>
      <c r="H808" s="1"/>
    </row>
    <row r="809" spans="2:8" ht="12.75">
      <c r="B809" s="6" t="s">
        <v>45</v>
      </c>
      <c r="C809" s="8">
        <f>14.02+2.83+1.42</f>
        <v>18.270000000000003</v>
      </c>
      <c r="D809" s="8">
        <f>C809/371.6/12*1000</f>
        <v>4.097147470398278</v>
      </c>
      <c r="E809" s="1"/>
      <c r="F809" s="1"/>
      <c r="G809" s="1"/>
      <c r="H809" s="1"/>
    </row>
    <row r="810" spans="2:8" ht="12.75">
      <c r="B810" s="6" t="s">
        <v>46</v>
      </c>
      <c r="C810" s="8"/>
      <c r="D810" s="8">
        <f>C810/371.6/12*1000</f>
        <v>0</v>
      </c>
      <c r="E810" s="1"/>
      <c r="F810" s="1"/>
      <c r="G810" s="1"/>
      <c r="H810" s="1"/>
    </row>
    <row r="811" spans="2:8" ht="12.75">
      <c r="B811" s="8" t="s">
        <v>48</v>
      </c>
      <c r="C811" s="8">
        <v>1.06</v>
      </c>
      <c r="D811" s="8">
        <f>C811/371.6/12*1000</f>
        <v>0.23771080014352353</v>
      </c>
      <c r="E811" s="1"/>
      <c r="F811" s="1"/>
      <c r="G811" s="1"/>
      <c r="H811" s="1"/>
    </row>
    <row r="812" spans="2:8" ht="12.75">
      <c r="B812" s="8" t="s">
        <v>50</v>
      </c>
      <c r="C812" s="8">
        <v>0.32</v>
      </c>
      <c r="D812" s="8">
        <f>C812/371.6/12*1000</f>
        <v>0.07176175098672406</v>
      </c>
      <c r="E812" s="1"/>
      <c r="F812" s="1"/>
      <c r="G812" s="1"/>
      <c r="H812" s="1"/>
    </row>
    <row r="813" spans="2:8" ht="12.75">
      <c r="B813" s="14" t="s">
        <v>27</v>
      </c>
      <c r="C813" s="14">
        <f>5.54+0.87</f>
        <v>6.41</v>
      </c>
      <c r="D813" s="14">
        <f>C813/371.6/12*1000</f>
        <v>1.4374775744528165</v>
      </c>
      <c r="E813" s="1"/>
      <c r="F813" s="1"/>
      <c r="G813" s="1"/>
      <c r="H813" s="1"/>
    </row>
    <row r="814" spans="2:8" ht="12.75">
      <c r="B814" s="14"/>
      <c r="C814" s="14"/>
      <c r="D814" s="8"/>
      <c r="E814" s="1"/>
      <c r="F814" s="1"/>
      <c r="G814" s="1"/>
      <c r="H814" s="1"/>
    </row>
    <row r="815" spans="2:8" ht="12.75">
      <c r="B815" s="14" t="s">
        <v>29</v>
      </c>
      <c r="C815" s="14">
        <f>C803+C804+C808+C813+C814</f>
        <v>51.31</v>
      </c>
      <c r="D815" s="14">
        <f>D803+D804+D808+D813+D814</f>
        <v>11.506548259777539</v>
      </c>
      <c r="E815" s="1"/>
      <c r="F815" s="1"/>
      <c r="G815" s="1"/>
      <c r="H815" s="1"/>
    </row>
    <row r="816" spans="2:8" ht="12.75">
      <c r="B816" s="8" t="s">
        <v>51</v>
      </c>
      <c r="C816" s="8">
        <v>5.13</v>
      </c>
      <c r="D816" s="8">
        <f>C816/371.6/12*1000</f>
        <v>1.1504305705059203</v>
      </c>
      <c r="E816" s="1"/>
      <c r="F816" s="1"/>
      <c r="G816" s="1"/>
      <c r="H816" s="1"/>
    </row>
    <row r="817" spans="2:8" ht="12.75">
      <c r="B817" s="14" t="s">
        <v>31</v>
      </c>
      <c r="C817" s="23">
        <f>C815+C816</f>
        <v>56.440000000000005</v>
      </c>
      <c r="D817" s="23">
        <f>D815+D816</f>
        <v>12.656978830283458</v>
      </c>
      <c r="E817" s="1"/>
      <c r="F817" s="1"/>
      <c r="G817" s="1"/>
      <c r="H817" s="1"/>
    </row>
    <row r="818" spans="2:8" ht="12.75">
      <c r="B818" s="6" t="s">
        <v>34</v>
      </c>
      <c r="C818" s="23">
        <f>C817/C802/12*1000</f>
        <v>12.656978830283458</v>
      </c>
      <c r="D818" s="8"/>
      <c r="E818" s="1"/>
      <c r="F818" s="1"/>
      <c r="G818" s="1"/>
      <c r="H818" s="1"/>
    </row>
    <row r="819" spans="2:8" ht="12.75">
      <c r="B819" s="1"/>
      <c r="C819" s="1"/>
      <c r="D819" s="1"/>
      <c r="E819" s="1"/>
      <c r="F819" s="1"/>
      <c r="G819" s="1"/>
      <c r="H819" s="1"/>
    </row>
    <row r="820" spans="2:8" ht="12.75">
      <c r="B820" s="1" t="s">
        <v>52</v>
      </c>
      <c r="C820" s="1"/>
      <c r="D820" s="1"/>
      <c r="E820" s="1"/>
      <c r="F820" s="1"/>
      <c r="G820" s="1"/>
      <c r="H820" s="1"/>
    </row>
    <row r="821" spans="2:8" ht="12.75">
      <c r="B821" s="1"/>
      <c r="C821" s="1"/>
      <c r="D821" s="1"/>
      <c r="E821" s="1"/>
      <c r="F821" s="1"/>
      <c r="G821" s="1"/>
      <c r="H821" s="1"/>
    </row>
    <row r="822" spans="2:8" ht="12.75">
      <c r="B822" s="2" t="s">
        <v>0</v>
      </c>
      <c r="C822" s="2"/>
      <c r="D822" s="2"/>
      <c r="E822" s="1"/>
      <c r="F822" s="1"/>
      <c r="G822" s="1"/>
      <c r="H822" s="1"/>
    </row>
    <row r="823" spans="2:8" ht="12.75">
      <c r="B823" s="2" t="s">
        <v>65</v>
      </c>
      <c r="C823" s="2"/>
      <c r="D823" s="2"/>
      <c r="E823" s="1"/>
      <c r="F823" s="1"/>
      <c r="G823" s="1"/>
      <c r="H823" s="1"/>
    </row>
    <row r="824" spans="2:8" ht="12.75">
      <c r="B824" s="2" t="s">
        <v>91</v>
      </c>
      <c r="C824" s="2"/>
      <c r="D824" s="2"/>
      <c r="E824" s="1"/>
      <c r="F824" s="1"/>
      <c r="G824" s="1"/>
      <c r="H824" s="1"/>
    </row>
    <row r="825" spans="2:8" ht="12.75">
      <c r="B825" s="3"/>
      <c r="C825" s="3"/>
      <c r="D825" s="1"/>
      <c r="E825" s="1"/>
      <c r="F825" s="1"/>
      <c r="G825" s="1"/>
      <c r="H825" s="1"/>
    </row>
    <row r="826" spans="2:8" ht="12.75">
      <c r="B826" s="5" t="s">
        <v>4</v>
      </c>
      <c r="C826" s="6" t="s">
        <v>63</v>
      </c>
      <c r="D826" s="6" t="s">
        <v>41</v>
      </c>
      <c r="E826" s="34"/>
      <c r="F826" s="34"/>
      <c r="G826" s="1"/>
      <c r="H826" s="1"/>
    </row>
    <row r="827" spans="2:8" ht="12.75">
      <c r="B827" s="6"/>
      <c r="C827" s="6"/>
      <c r="D827" s="7"/>
      <c r="E827" s="34"/>
      <c r="F827" s="34"/>
      <c r="G827" s="1"/>
      <c r="H827" s="1"/>
    </row>
    <row r="828" spans="2:8" ht="12.75">
      <c r="B828" s="10" t="s">
        <v>42</v>
      </c>
      <c r="C828" s="8">
        <v>3734</v>
      </c>
      <c r="D828" s="8"/>
      <c r="E828" s="34"/>
      <c r="F828" s="34"/>
      <c r="G828" s="1"/>
      <c r="H828" s="1"/>
    </row>
    <row r="829" spans="2:8" ht="12.75">
      <c r="B829" s="11" t="s">
        <v>13</v>
      </c>
      <c r="C829" s="32">
        <v>74.52</v>
      </c>
      <c r="D829" s="14">
        <f>C829/3734/12*1000</f>
        <v>1.6630958757364755</v>
      </c>
      <c r="E829" s="34"/>
      <c r="F829" s="34"/>
      <c r="G829" s="1"/>
      <c r="H829" s="1"/>
    </row>
    <row r="830" spans="2:8" ht="12.75">
      <c r="B830" s="15" t="s">
        <v>14</v>
      </c>
      <c r="C830" s="9">
        <f>SUM(C831:C834)</f>
        <v>269.34000000000003</v>
      </c>
      <c r="D830" s="9">
        <f>SUM(D831:D834)</f>
        <v>6.0109801821103375</v>
      </c>
      <c r="E830" s="2"/>
      <c r="F830" s="2"/>
      <c r="G830" s="1"/>
      <c r="H830" s="1"/>
    </row>
    <row r="831" spans="2:8" ht="12.75">
      <c r="B831" s="6" t="s">
        <v>59</v>
      </c>
      <c r="C831" s="8">
        <v>68.56</v>
      </c>
      <c r="D831" s="8">
        <f>C831/3734/12*1000</f>
        <v>1.5300839135868596</v>
      </c>
      <c r="E831" s="34"/>
      <c r="F831" s="34"/>
      <c r="G831" s="1"/>
      <c r="H831" s="1"/>
    </row>
    <row r="832" spans="2:8" ht="12.75">
      <c r="B832" s="17" t="s">
        <v>44</v>
      </c>
      <c r="C832" s="8">
        <v>32.99</v>
      </c>
      <c r="D832" s="8">
        <f>C832/3734/12*1000</f>
        <v>0.7362524549187646</v>
      </c>
      <c r="E832" s="34"/>
      <c r="F832" s="34"/>
      <c r="G832" s="1"/>
      <c r="H832" s="1"/>
    </row>
    <row r="833" spans="2:8" ht="12.75">
      <c r="B833" s="6" t="s">
        <v>16</v>
      </c>
      <c r="C833" s="8">
        <v>159.51</v>
      </c>
      <c r="D833" s="8">
        <f>C833/3734/12*1000</f>
        <v>3.559855382967327</v>
      </c>
      <c r="E833" s="34"/>
      <c r="F833" s="34"/>
      <c r="G833" s="1"/>
      <c r="H833" s="1"/>
    </row>
    <row r="834" spans="2:8" ht="12.75">
      <c r="B834" s="6" t="s">
        <v>64</v>
      </c>
      <c r="C834" s="8">
        <v>8.28</v>
      </c>
      <c r="D834" s="8">
        <f>C834/3734/12*1000</f>
        <v>0.18478843063738618</v>
      </c>
      <c r="E834" s="34"/>
      <c r="F834" s="34"/>
      <c r="G834" s="1"/>
      <c r="H834" s="1"/>
    </row>
    <row r="835" spans="2:8" ht="12.75">
      <c r="B835" s="10" t="s">
        <v>19</v>
      </c>
      <c r="C835" s="22">
        <f>SUM(C837:C841)</f>
        <v>107.55</v>
      </c>
      <c r="D835" s="22">
        <f>SUM(D837:D841)</f>
        <v>2.400241028387788</v>
      </c>
      <c r="E835" s="37"/>
      <c r="F835" s="37"/>
      <c r="G835" s="1"/>
      <c r="H835" s="1"/>
    </row>
    <row r="836" spans="2:8" ht="12.75">
      <c r="B836" s="10"/>
      <c r="C836" s="22"/>
      <c r="D836" s="8"/>
      <c r="E836" s="37"/>
      <c r="F836" s="37"/>
      <c r="G836" s="1"/>
      <c r="H836" s="1"/>
    </row>
    <row r="837" spans="2:8" ht="12.75">
      <c r="B837" s="6" t="s">
        <v>45</v>
      </c>
      <c r="C837" s="8">
        <v>96.45</v>
      </c>
      <c r="D837" s="8">
        <f>C837/3734/12*1000</f>
        <v>2.1525174076057847</v>
      </c>
      <c r="E837" s="34"/>
      <c r="F837" s="34"/>
      <c r="G837" s="1"/>
      <c r="H837" s="1"/>
    </row>
    <row r="838" spans="2:8" ht="12.75">
      <c r="B838" s="6" t="s">
        <v>46</v>
      </c>
      <c r="C838" s="8">
        <v>0</v>
      </c>
      <c r="D838" s="8">
        <f>C838/3734/12*1000</f>
        <v>0</v>
      </c>
      <c r="E838" s="34"/>
      <c r="F838" s="34"/>
      <c r="G838" s="1"/>
      <c r="H838" s="1"/>
    </row>
    <row r="839" spans="2:8" ht="12.75">
      <c r="B839" s="20" t="s">
        <v>47</v>
      </c>
      <c r="C839" s="8">
        <v>0.62</v>
      </c>
      <c r="D839" s="8">
        <f>C839/3734/12*1000</f>
        <v>0.01383681485449027</v>
      </c>
      <c r="E839" s="34"/>
      <c r="F839" s="34"/>
      <c r="G839" s="1"/>
      <c r="H839" s="1"/>
    </row>
    <row r="840" spans="2:8" ht="12.75">
      <c r="B840" s="8" t="s">
        <v>48</v>
      </c>
      <c r="C840" s="8">
        <v>8.76</v>
      </c>
      <c r="D840" s="8">
        <f>C840/3734/12*1000</f>
        <v>0.19550080342795928</v>
      </c>
      <c r="E840" s="34"/>
      <c r="F840" s="34"/>
      <c r="G840" s="1"/>
      <c r="H840" s="1"/>
    </row>
    <row r="841" spans="2:8" ht="12.75">
      <c r="B841" s="8" t="s">
        <v>50</v>
      </c>
      <c r="C841" s="8">
        <v>1.72</v>
      </c>
      <c r="D841" s="8">
        <f>C841/3734/12*1000</f>
        <v>0.03838600249955365</v>
      </c>
      <c r="E841" s="34"/>
      <c r="F841" s="34"/>
      <c r="G841" s="1"/>
      <c r="H841" s="1"/>
    </row>
    <row r="842" spans="2:8" ht="12.75">
      <c r="B842" s="14" t="s">
        <v>27</v>
      </c>
      <c r="C842" s="14">
        <v>64.18</v>
      </c>
      <c r="D842" s="8">
        <f>C842/3734/12*1000</f>
        <v>1.4323335118728802</v>
      </c>
      <c r="E842" s="34"/>
      <c r="F842" s="34"/>
      <c r="G842" s="1"/>
      <c r="H842" s="1"/>
    </row>
    <row r="843" spans="2:8" ht="12.75">
      <c r="B843" s="14"/>
      <c r="C843" s="14"/>
      <c r="D843" s="8"/>
      <c r="E843" s="34"/>
      <c r="F843" s="34"/>
      <c r="G843" s="1"/>
      <c r="H843" s="1"/>
    </row>
    <row r="844" spans="2:8" ht="12.75">
      <c r="B844" s="14" t="s">
        <v>29</v>
      </c>
      <c r="C844" s="14">
        <f>C829+C830+C835+C842+C843</f>
        <v>515.59</v>
      </c>
      <c r="D844" s="14">
        <f>D829+D830+D835+D842+D843</f>
        <v>11.50665059810748</v>
      </c>
      <c r="E844" s="38"/>
      <c r="F844" s="38"/>
      <c r="G844" s="1"/>
      <c r="H844" s="1"/>
    </row>
    <row r="845" spans="2:8" ht="12.75">
      <c r="B845" s="8" t="s">
        <v>51</v>
      </c>
      <c r="C845" s="8">
        <v>51.56</v>
      </c>
      <c r="D845" s="8">
        <v>1.15</v>
      </c>
      <c r="E845" s="39"/>
      <c r="F845" s="39"/>
      <c r="G845" s="1"/>
      <c r="H845" s="1"/>
    </row>
    <row r="846" spans="2:8" ht="12.75">
      <c r="B846" s="14" t="s">
        <v>31</v>
      </c>
      <c r="C846" s="23">
        <f>C844+C845</f>
        <v>567.1500000000001</v>
      </c>
      <c r="D846" s="23">
        <f>D844+D845</f>
        <v>12.65665059810748</v>
      </c>
      <c r="E846" s="38"/>
      <c r="F846" s="38"/>
      <c r="G846" s="1"/>
      <c r="H846" s="1"/>
    </row>
    <row r="847" spans="2:8" ht="12.75">
      <c r="B847" s="6" t="s">
        <v>34</v>
      </c>
      <c r="C847" s="23">
        <f>C846/C828/12*1000</f>
        <v>12.657337975361544</v>
      </c>
      <c r="D847" s="8"/>
      <c r="E847" s="34"/>
      <c r="F847" s="34"/>
      <c r="G847" s="1"/>
      <c r="H847" s="1"/>
    </row>
    <row r="848" spans="2:8" ht="12.75">
      <c r="B848" s="1"/>
      <c r="C848" s="1"/>
      <c r="D848" s="1"/>
      <c r="E848" s="1"/>
      <c r="F848" s="1"/>
      <c r="G848" s="1"/>
      <c r="H848" s="1"/>
    </row>
    <row r="849" spans="2:8" ht="12.75">
      <c r="B849" s="1" t="s">
        <v>52</v>
      </c>
      <c r="C849" s="1"/>
      <c r="D849" s="1"/>
      <c r="E849" s="1"/>
      <c r="F849" s="1"/>
      <c r="G849" s="1"/>
      <c r="H849" s="1"/>
    </row>
    <row r="850" spans="2:8" ht="12.75">
      <c r="B850" s="1"/>
      <c r="C850" s="1"/>
      <c r="D850" s="1"/>
      <c r="E850" s="1"/>
      <c r="F850" s="1"/>
      <c r="G850" s="1"/>
      <c r="H850" s="1"/>
    </row>
    <row r="851" spans="2:8" ht="12.75">
      <c r="B851" s="2" t="s">
        <v>0</v>
      </c>
      <c r="C851" s="2"/>
      <c r="D851" s="2"/>
      <c r="E851" s="1"/>
      <c r="F851" s="1"/>
      <c r="G851" s="1"/>
      <c r="H851" s="1"/>
    </row>
    <row r="852" spans="2:8" ht="12.75">
      <c r="B852" s="2" t="s">
        <v>65</v>
      </c>
      <c r="C852" s="2"/>
      <c r="D852" s="2"/>
      <c r="E852" s="1"/>
      <c r="F852" s="1"/>
      <c r="G852" s="1"/>
      <c r="H852" s="1"/>
    </row>
    <row r="853" spans="2:8" ht="12.75">
      <c r="B853" s="2" t="s">
        <v>92</v>
      </c>
      <c r="C853" s="2"/>
      <c r="D853" s="2"/>
      <c r="E853" s="1"/>
      <c r="F853" s="1"/>
      <c r="G853" s="1"/>
      <c r="H853" s="1"/>
    </row>
    <row r="854" spans="2:8" ht="12.75">
      <c r="B854" s="3"/>
      <c r="C854" s="3"/>
      <c r="D854" s="1"/>
      <c r="E854" s="1"/>
      <c r="F854" s="1"/>
      <c r="G854" s="1"/>
      <c r="H854" s="1"/>
    </row>
    <row r="855" spans="2:8" ht="12.75">
      <c r="B855" s="5" t="s">
        <v>4</v>
      </c>
      <c r="C855" s="31" t="s">
        <v>40</v>
      </c>
      <c r="D855" s="6" t="s">
        <v>41</v>
      </c>
      <c r="E855" s="1"/>
      <c r="F855" s="1"/>
      <c r="G855" s="1"/>
      <c r="H855" s="1"/>
    </row>
    <row r="856" spans="2:8" ht="12.75">
      <c r="B856" s="6"/>
      <c r="C856" s="6"/>
      <c r="D856" s="7"/>
      <c r="E856" s="1"/>
      <c r="F856" s="1"/>
      <c r="G856" s="1"/>
      <c r="H856" s="1"/>
    </row>
    <row r="857" spans="2:8" ht="12.75">
      <c r="B857" s="10" t="s">
        <v>42</v>
      </c>
      <c r="C857" s="8">
        <v>1385.1</v>
      </c>
      <c r="D857" s="8"/>
      <c r="E857" s="1"/>
      <c r="F857" s="1"/>
      <c r="G857" s="1"/>
      <c r="H857" s="1"/>
    </row>
    <row r="858" spans="2:8" ht="12.75">
      <c r="B858" s="11" t="s">
        <v>13</v>
      </c>
      <c r="C858" s="30">
        <v>28.41</v>
      </c>
      <c r="D858" s="8">
        <f>C858/1385.1/12*1000</f>
        <v>1.7092628691069238</v>
      </c>
      <c r="E858" s="1"/>
      <c r="F858" s="1"/>
      <c r="G858" s="1"/>
      <c r="H858" s="1"/>
    </row>
    <row r="859" spans="2:8" ht="12.75">
      <c r="B859" s="15" t="s">
        <v>14</v>
      </c>
      <c r="C859" s="9">
        <f>SUM(C860:C862)</f>
        <v>107.32999999999998</v>
      </c>
      <c r="D859" s="9">
        <f>SUM(D860:D862)</f>
        <v>6.457415830385291</v>
      </c>
      <c r="E859" s="1"/>
      <c r="F859" s="1"/>
      <c r="G859" s="1"/>
      <c r="H859" s="1"/>
    </row>
    <row r="860" spans="2:8" ht="12.75">
      <c r="B860" s="6" t="s">
        <v>43</v>
      </c>
      <c r="C860" s="8">
        <f>10.8+14.63</f>
        <v>25.43</v>
      </c>
      <c r="D860" s="8">
        <f>C860/1385.1/12*1000</f>
        <v>1.5299737684403052</v>
      </c>
      <c r="E860" s="1"/>
      <c r="F860" s="1"/>
      <c r="G860" s="1"/>
      <c r="H860" s="1"/>
    </row>
    <row r="861" spans="2:8" ht="12.75">
      <c r="B861" s="17" t="s">
        <v>44</v>
      </c>
      <c r="C861" s="8">
        <v>12.24</v>
      </c>
      <c r="D861" s="8">
        <f>C861/1385.1/12*1000</f>
        <v>0.7364089235434266</v>
      </c>
      <c r="E861" s="1"/>
      <c r="F861" s="1"/>
      <c r="G861" s="1"/>
      <c r="H861" s="1"/>
    </row>
    <row r="862" spans="2:8" ht="12.75">
      <c r="B862" s="6" t="s">
        <v>16</v>
      </c>
      <c r="C862" s="8">
        <v>69.66</v>
      </c>
      <c r="D862" s="8">
        <f>C862/1385.1/12*1000</f>
        <v>4.1910331384015596</v>
      </c>
      <c r="E862" s="1"/>
      <c r="F862" s="1"/>
      <c r="G862" s="1"/>
      <c r="H862" s="1"/>
    </row>
    <row r="863" spans="2:8" ht="12.75">
      <c r="B863" s="10" t="s">
        <v>19</v>
      </c>
      <c r="C863" s="22">
        <f>SUM(C864:C869)</f>
        <v>31.660000000000004</v>
      </c>
      <c r="D863" s="22">
        <f>SUM(D864:D869)</f>
        <v>1.9047962842634711</v>
      </c>
      <c r="E863" s="1"/>
      <c r="F863" s="1"/>
      <c r="G863" s="1"/>
      <c r="H863" s="1"/>
    </row>
    <row r="864" spans="2:8" ht="12.75">
      <c r="B864" s="6" t="s">
        <v>45</v>
      </c>
      <c r="C864" s="8">
        <f>20.28+4.1+2.05</f>
        <v>26.430000000000003</v>
      </c>
      <c r="D864" s="8">
        <f>C864/1385.1/12*1000</f>
        <v>1.5901378961807815</v>
      </c>
      <c r="E864" s="1"/>
      <c r="F864" s="1"/>
      <c r="G864" s="1"/>
      <c r="H864" s="1"/>
    </row>
    <row r="865" spans="2:8" ht="12.75">
      <c r="B865" s="6" t="s">
        <v>46</v>
      </c>
      <c r="C865" s="8">
        <v>0</v>
      </c>
      <c r="D865" s="8">
        <f>C865/1385.1/12*1000</f>
        <v>0</v>
      </c>
      <c r="E865" s="1"/>
      <c r="F865" s="1"/>
      <c r="G865" s="1"/>
      <c r="H865" s="1"/>
    </row>
    <row r="866" spans="2:8" ht="12.75">
      <c r="B866" s="20" t="s">
        <v>47</v>
      </c>
      <c r="C866" s="8">
        <v>0.31</v>
      </c>
      <c r="D866" s="8">
        <f>C866/1385.1/12*1000</f>
        <v>0.018650879599547567</v>
      </c>
      <c r="E866" s="1"/>
      <c r="F866" s="1"/>
      <c r="G866" s="1"/>
      <c r="H866" s="1"/>
    </row>
    <row r="867" spans="2:8" ht="12.75">
      <c r="B867" s="8" t="s">
        <v>48</v>
      </c>
      <c r="C867" s="8">
        <v>4.25</v>
      </c>
      <c r="D867" s="8">
        <f>C867/1385.1/12*1000</f>
        <v>0.2556975428970231</v>
      </c>
      <c r="E867" s="1"/>
      <c r="F867" s="1"/>
      <c r="G867" s="1"/>
      <c r="H867" s="1"/>
    </row>
    <row r="868" spans="2:8" ht="12.75">
      <c r="B868" s="8" t="s">
        <v>67</v>
      </c>
      <c r="C868" s="8"/>
      <c r="D868" s="8">
        <f>C868/1385.1/12*1000</f>
        <v>0</v>
      </c>
      <c r="E868" s="1"/>
      <c r="F868" s="1"/>
      <c r="G868" s="1"/>
      <c r="H868" s="1"/>
    </row>
    <row r="869" spans="2:8" ht="12.75">
      <c r="B869" s="8" t="s">
        <v>50</v>
      </c>
      <c r="C869" s="8">
        <v>0.67</v>
      </c>
      <c r="D869" s="8">
        <f>C869/1385.1/12*1000</f>
        <v>0.04030996558611894</v>
      </c>
      <c r="E869" s="1"/>
      <c r="F869" s="1"/>
      <c r="G869" s="1"/>
      <c r="H869" s="1"/>
    </row>
    <row r="870" spans="2:8" ht="12.75">
      <c r="B870" s="14" t="s">
        <v>27</v>
      </c>
      <c r="C870" s="14">
        <f>20.66+3.23</f>
        <v>23.89</v>
      </c>
      <c r="D870" s="14">
        <f>C870/1385.1/12*1000</f>
        <v>1.4373210117199724</v>
      </c>
      <c r="E870" s="1"/>
      <c r="F870" s="1"/>
      <c r="G870" s="1"/>
      <c r="H870" s="1"/>
    </row>
    <row r="871" spans="2:8" ht="12.75">
      <c r="B871" s="14"/>
      <c r="C871" s="14"/>
      <c r="D871" s="8"/>
      <c r="E871" s="1"/>
      <c r="F871" s="1"/>
      <c r="G871" s="1"/>
      <c r="H871" s="1"/>
    </row>
    <row r="872" spans="2:8" ht="12.75">
      <c r="B872" s="14" t="s">
        <v>29</v>
      </c>
      <c r="C872" s="14">
        <f>C858+C859+C863+C870+C871</f>
        <v>191.28999999999996</v>
      </c>
      <c r="D872" s="14">
        <f>D858+D859+D863+D870+D871</f>
        <v>11.508795995475658</v>
      </c>
      <c r="E872" s="1"/>
      <c r="F872" s="1"/>
      <c r="G872" s="1"/>
      <c r="H872" s="1"/>
    </row>
    <row r="873" spans="2:8" ht="12.75">
      <c r="B873" s="8" t="s">
        <v>51</v>
      </c>
      <c r="C873" s="8">
        <v>19.13</v>
      </c>
      <c r="D873" s="8">
        <f>C873/1385.1/12*1000</f>
        <v>1.1509397636753063</v>
      </c>
      <c r="E873" s="1"/>
      <c r="F873" s="1"/>
      <c r="G873" s="1"/>
      <c r="H873" s="1"/>
    </row>
    <row r="874" spans="2:8" ht="12.75">
      <c r="B874" s="14" t="s">
        <v>31</v>
      </c>
      <c r="C874" s="23">
        <f>C872+C873</f>
        <v>210.41999999999996</v>
      </c>
      <c r="D874" s="23">
        <f>D872+D873</f>
        <v>12.659735759150966</v>
      </c>
      <c r="E874" s="1"/>
      <c r="F874" s="1"/>
      <c r="G874" s="1"/>
      <c r="H874" s="1"/>
    </row>
    <row r="875" spans="2:8" ht="12.75">
      <c r="B875" s="6" t="s">
        <v>34</v>
      </c>
      <c r="C875" s="23">
        <f>C874/C857/12*1000</f>
        <v>12.659735759150962</v>
      </c>
      <c r="D875" s="8"/>
      <c r="E875" s="1"/>
      <c r="F875" s="1"/>
      <c r="G875" s="1"/>
      <c r="H875" s="1"/>
    </row>
    <row r="876" spans="2:8" ht="12.75">
      <c r="B876" s="1"/>
      <c r="C876" s="1"/>
      <c r="D876" s="1"/>
      <c r="E876" s="1"/>
      <c r="F876" s="1"/>
      <c r="G876" s="1"/>
      <c r="H876" s="1"/>
    </row>
    <row r="877" spans="2:8" ht="12.75">
      <c r="B877" s="1" t="s">
        <v>52</v>
      </c>
      <c r="C877" s="1"/>
      <c r="D877" s="1"/>
      <c r="E877" s="1"/>
      <c r="F877" s="1"/>
      <c r="G877" s="1"/>
      <c r="H877" s="1"/>
    </row>
    <row r="878" spans="2:8" ht="12.75">
      <c r="B878" s="1"/>
      <c r="C878" s="1"/>
      <c r="D878" s="1"/>
      <c r="E878" s="1"/>
      <c r="F878" s="1"/>
      <c r="G878" s="1"/>
      <c r="H878" s="1"/>
    </row>
    <row r="879" spans="2:12" ht="12.75">
      <c r="B879" s="2" t="s">
        <v>0</v>
      </c>
      <c r="C879" s="2"/>
      <c r="D879" s="2"/>
      <c r="E879" s="1"/>
      <c r="F879" s="1"/>
      <c r="G879" s="1"/>
      <c r="H879" s="1"/>
      <c r="J879" s="2"/>
      <c r="K879" s="2"/>
      <c r="L879" s="2"/>
    </row>
    <row r="880" spans="2:12" ht="12.75">
      <c r="B880" s="2" t="s">
        <v>65</v>
      </c>
      <c r="C880" s="2"/>
      <c r="D880" s="2"/>
      <c r="E880" s="1"/>
      <c r="F880" s="1"/>
      <c r="G880" s="1"/>
      <c r="H880" s="1"/>
      <c r="J880" s="2"/>
      <c r="K880" s="2"/>
      <c r="L880" s="2"/>
    </row>
    <row r="881" spans="2:12" ht="12.75">
      <c r="B881" s="2" t="s">
        <v>93</v>
      </c>
      <c r="C881" s="2"/>
      <c r="D881" s="2"/>
      <c r="E881" s="1"/>
      <c r="F881" s="1"/>
      <c r="G881" s="1"/>
      <c r="H881" s="1"/>
      <c r="J881" s="2"/>
      <c r="K881" s="2"/>
      <c r="L881" s="2"/>
    </row>
    <row r="882" spans="2:12" ht="12.75">
      <c r="B882" s="3"/>
      <c r="C882" s="3"/>
      <c r="D882" s="1"/>
      <c r="E882" s="1"/>
      <c r="F882" s="1"/>
      <c r="G882" s="1"/>
      <c r="H882" s="1"/>
      <c r="J882" s="3"/>
      <c r="K882" s="3"/>
      <c r="L882" s="1"/>
    </row>
    <row r="883" spans="2:12" ht="12.75">
      <c r="B883" s="5" t="s">
        <v>4</v>
      </c>
      <c r="C883" s="31" t="s">
        <v>40</v>
      </c>
      <c r="D883" s="6" t="s">
        <v>41</v>
      </c>
      <c r="E883" s="1"/>
      <c r="F883" s="1"/>
      <c r="G883" s="1"/>
      <c r="H883" s="1"/>
      <c r="J883" s="29"/>
      <c r="K883" s="35"/>
      <c r="L883" s="27"/>
    </row>
    <row r="884" spans="2:12" ht="12.75">
      <c r="B884" s="6"/>
      <c r="C884" s="6"/>
      <c r="D884" s="7"/>
      <c r="E884" s="1"/>
      <c r="F884" s="1"/>
      <c r="G884" s="1"/>
      <c r="H884" s="1"/>
      <c r="J884" s="27"/>
      <c r="K884" s="27"/>
      <c r="L884" s="34"/>
    </row>
    <row r="885" spans="2:12" ht="12.75">
      <c r="B885" s="10" t="s">
        <v>42</v>
      </c>
      <c r="C885" s="8">
        <v>1354.4</v>
      </c>
      <c r="D885" s="8"/>
      <c r="E885" s="1"/>
      <c r="F885" s="1"/>
      <c r="G885" s="1"/>
      <c r="H885" s="1"/>
      <c r="J885" s="40"/>
      <c r="K885" s="36"/>
      <c r="L885" s="36"/>
    </row>
    <row r="886" spans="2:12" ht="12.75">
      <c r="B886" s="11" t="s">
        <v>13</v>
      </c>
      <c r="C886" s="30">
        <v>27.78</v>
      </c>
      <c r="D886" s="8">
        <f>C886/1354.4/12*1000</f>
        <v>1.7092439456585942</v>
      </c>
      <c r="E886" s="1"/>
      <c r="F886" s="1"/>
      <c r="G886" s="1"/>
      <c r="H886" s="1"/>
      <c r="J886" s="41"/>
      <c r="K886" s="30"/>
      <c r="L886" s="36"/>
    </row>
    <row r="887" spans="2:12" ht="51" customHeight="1">
      <c r="B887" s="15" t="s">
        <v>14</v>
      </c>
      <c r="C887" s="9">
        <f>SUM(C888:C890)</f>
        <v>103.27</v>
      </c>
      <c r="D887" s="9">
        <f>SUM(D888:D890)</f>
        <v>6.353982083087221</v>
      </c>
      <c r="E887" s="1"/>
      <c r="F887" s="1"/>
      <c r="G887" s="1"/>
      <c r="H887" s="1"/>
      <c r="J887" s="42"/>
      <c r="K887" s="2"/>
      <c r="L887" s="2"/>
    </row>
    <row r="888" spans="2:12" ht="17.25" customHeight="1">
      <c r="B888" s="6" t="s">
        <v>43</v>
      </c>
      <c r="C888" s="8">
        <f>10.56+14.3</f>
        <v>24.86</v>
      </c>
      <c r="D888" s="8">
        <f>C888/1354.4/12*1000</f>
        <v>1.5295825949990154</v>
      </c>
      <c r="E888" s="1"/>
      <c r="F888" s="1"/>
      <c r="G888" s="1"/>
      <c r="H888" s="1"/>
      <c r="J888" s="27"/>
      <c r="K888" s="36"/>
      <c r="L888" s="36"/>
    </row>
    <row r="889" spans="2:12" ht="12.75">
      <c r="B889" s="17" t="s">
        <v>44</v>
      </c>
      <c r="C889" s="8">
        <v>11.96</v>
      </c>
      <c r="D889" s="8">
        <f>C889/1354.4/12*1000</f>
        <v>0.7358732033864934</v>
      </c>
      <c r="E889" s="1"/>
      <c r="F889" s="1"/>
      <c r="G889" s="1"/>
      <c r="H889" s="1"/>
      <c r="J889" s="43"/>
      <c r="K889" s="36"/>
      <c r="L889" s="36"/>
    </row>
    <row r="890" spans="2:12" ht="12.75">
      <c r="B890" s="6" t="s">
        <v>16</v>
      </c>
      <c r="C890" s="8">
        <v>66.45</v>
      </c>
      <c r="D890" s="8">
        <f>C890/1354.4/12*1000</f>
        <v>4.088526284701713</v>
      </c>
      <c r="E890" s="1"/>
      <c r="F890" s="1"/>
      <c r="G890" s="1"/>
      <c r="H890" s="1"/>
      <c r="J890" s="27"/>
      <c r="K890" s="36"/>
      <c r="L890" s="36"/>
    </row>
    <row r="891" spans="2:12" ht="38.25" customHeight="1">
      <c r="B891" s="10" t="s">
        <v>19</v>
      </c>
      <c r="C891" s="22">
        <f>SUM(C893:C898)</f>
        <v>32.63</v>
      </c>
      <c r="D891" s="22">
        <f>SUM(D893:D898)</f>
        <v>2.0076540657609767</v>
      </c>
      <c r="E891" s="1"/>
      <c r="F891" s="1"/>
      <c r="G891" s="1"/>
      <c r="H891" s="1"/>
      <c r="J891" s="40"/>
      <c r="K891" s="37"/>
      <c r="L891" s="37"/>
    </row>
    <row r="892" spans="2:12" ht="12.75" customHeight="1">
      <c r="B892" s="10"/>
      <c r="C892" s="22"/>
      <c r="D892" s="22"/>
      <c r="E892" s="1"/>
      <c r="F892" s="1"/>
      <c r="G892" s="1"/>
      <c r="H892" s="1"/>
      <c r="J892" s="27"/>
      <c r="K892" s="37"/>
      <c r="L892" s="37"/>
    </row>
    <row r="893" spans="2:12" ht="26.25" customHeight="1">
      <c r="B893" s="6" t="s">
        <v>45</v>
      </c>
      <c r="C893" s="8">
        <f>20.25+4.09+2.05</f>
        <v>26.39</v>
      </c>
      <c r="D893" s="8">
        <f>C893/1354.4/12*1000</f>
        <v>1.6237202205158496</v>
      </c>
      <c r="E893" s="1"/>
      <c r="F893" s="1"/>
      <c r="G893" s="1"/>
      <c r="H893" s="1"/>
      <c r="J893" s="27"/>
      <c r="K893" s="36"/>
      <c r="L893" s="36"/>
    </row>
    <row r="894" spans="2:12" ht="12.75">
      <c r="B894" s="6" t="s">
        <v>46</v>
      </c>
      <c r="C894" s="8">
        <v>0</v>
      </c>
      <c r="D894" s="8">
        <f>C894/1354.4/12*1000</f>
        <v>0</v>
      </c>
      <c r="E894" s="1"/>
      <c r="F894" s="1"/>
      <c r="G894" s="1"/>
      <c r="H894" s="1"/>
      <c r="J894" s="27"/>
      <c r="K894" s="36"/>
      <c r="L894" s="36"/>
    </row>
    <row r="895" spans="2:12" ht="26.25" customHeight="1">
      <c r="B895" s="20" t="s">
        <v>47</v>
      </c>
      <c r="C895" s="8">
        <v>0.78</v>
      </c>
      <c r="D895" s="8">
        <f>C895/1354.4/12*1000</f>
        <v>0.04799173065564088</v>
      </c>
      <c r="E895" s="1"/>
      <c r="F895" s="1"/>
      <c r="G895" s="1"/>
      <c r="H895" s="1"/>
      <c r="J895" s="44"/>
      <c r="K895" s="36"/>
      <c r="L895" s="36"/>
    </row>
    <row r="896" spans="2:12" ht="12.75">
      <c r="B896" s="8" t="s">
        <v>48</v>
      </c>
      <c r="C896" s="8">
        <v>4.91</v>
      </c>
      <c r="D896" s="8">
        <f>C896/1354.4/12*1000</f>
        <v>0.30210179169127777</v>
      </c>
      <c r="E896" s="1"/>
      <c r="F896" s="1"/>
      <c r="G896" s="1"/>
      <c r="H896" s="1"/>
      <c r="J896" s="36"/>
      <c r="K896" s="36"/>
      <c r="L896" s="36"/>
    </row>
    <row r="897" spans="2:12" ht="12.75">
      <c r="B897" s="8" t="s">
        <v>67</v>
      </c>
      <c r="C897" s="8"/>
      <c r="D897" s="8">
        <f>C897/1354.4/12*1000</f>
        <v>0</v>
      </c>
      <c r="E897" s="1"/>
      <c r="F897" s="1"/>
      <c r="G897" s="1"/>
      <c r="H897" s="1"/>
      <c r="J897" s="36"/>
      <c r="K897" s="36"/>
      <c r="L897" s="36"/>
    </row>
    <row r="898" spans="2:12" ht="12.75">
      <c r="B898" s="8" t="s">
        <v>50</v>
      </c>
      <c r="C898" s="8">
        <v>0.55</v>
      </c>
      <c r="D898" s="8">
        <f>C898/1354.4/12*1000</f>
        <v>0.033840322898208305</v>
      </c>
      <c r="E898" s="1"/>
      <c r="F898" s="1"/>
      <c r="G898" s="1"/>
      <c r="H898" s="1"/>
      <c r="J898" s="43"/>
      <c r="K898" s="36"/>
      <c r="L898" s="36"/>
    </row>
    <row r="899" spans="2:12" ht="12.75">
      <c r="B899" s="14" t="s">
        <v>27</v>
      </c>
      <c r="C899" s="14">
        <f>20.21+3.16</f>
        <v>23.37</v>
      </c>
      <c r="D899" s="14">
        <f>C899/1354.4/12*1000</f>
        <v>1.4379060838747786</v>
      </c>
      <c r="E899" s="1"/>
      <c r="F899" s="1"/>
      <c r="G899" s="1"/>
      <c r="H899" s="1"/>
      <c r="J899" s="38"/>
      <c r="K899" s="38"/>
      <c r="L899" s="38"/>
    </row>
    <row r="900" spans="2:12" ht="12.75">
      <c r="B900" s="14"/>
      <c r="C900" s="14"/>
      <c r="D900" s="8"/>
      <c r="E900" s="1"/>
      <c r="F900" s="1"/>
      <c r="G900" s="1"/>
      <c r="H900" s="1"/>
      <c r="J900" s="38"/>
      <c r="K900" s="38"/>
      <c r="L900" s="36"/>
    </row>
    <row r="901" spans="2:12" ht="12.75">
      <c r="B901" s="14" t="s">
        <v>29</v>
      </c>
      <c r="C901" s="14">
        <f>C886+C887+C891+C899+C900</f>
        <v>187.05</v>
      </c>
      <c r="D901" s="14">
        <f>D886+D887+D891+D899+D900</f>
        <v>11.50878617838157</v>
      </c>
      <c r="E901" s="1"/>
      <c r="F901" s="1"/>
      <c r="G901" s="1"/>
      <c r="H901" s="1"/>
      <c r="J901" s="38"/>
      <c r="K901" s="38"/>
      <c r="L901" s="38"/>
    </row>
    <row r="902" spans="2:12" ht="12.75">
      <c r="B902" s="8" t="s">
        <v>51</v>
      </c>
      <c r="C902" s="8">
        <v>18.71</v>
      </c>
      <c r="D902" s="8">
        <f>C902/1354.4/12*1000</f>
        <v>1.1511862571372316</v>
      </c>
      <c r="E902" s="1"/>
      <c r="F902" s="1"/>
      <c r="G902" s="1"/>
      <c r="H902" s="1"/>
      <c r="J902" s="36"/>
      <c r="K902" s="36"/>
      <c r="L902" s="36"/>
    </row>
    <row r="903" spans="2:12" ht="12.75">
      <c r="B903" s="14" t="s">
        <v>31</v>
      </c>
      <c r="C903" s="23">
        <f>C901+C902</f>
        <v>205.76000000000002</v>
      </c>
      <c r="D903" s="23">
        <f>D901+D902</f>
        <v>12.659972435518801</v>
      </c>
      <c r="E903" s="1"/>
      <c r="F903" s="1"/>
      <c r="G903" s="1"/>
      <c r="H903" s="1"/>
      <c r="J903" s="38"/>
      <c r="K903" s="45"/>
      <c r="L903" s="45"/>
    </row>
    <row r="904" spans="2:12" ht="12.75">
      <c r="B904" s="6" t="s">
        <v>34</v>
      </c>
      <c r="C904" s="23">
        <f>C903/C885/12*1000</f>
        <v>12.659972435518801</v>
      </c>
      <c r="D904" s="8"/>
      <c r="E904" s="1"/>
      <c r="F904" s="1"/>
      <c r="G904" s="1"/>
      <c r="H904" s="1"/>
      <c r="J904" s="27"/>
      <c r="K904" s="45"/>
      <c r="L904" s="36"/>
    </row>
    <row r="905" spans="2:12" ht="12.75">
      <c r="B905" s="1"/>
      <c r="C905" s="1"/>
      <c r="D905" s="1"/>
      <c r="E905" s="1"/>
      <c r="F905" s="1"/>
      <c r="G905" s="1"/>
      <c r="H905" s="1"/>
      <c r="J905" s="1"/>
      <c r="K905" s="1"/>
      <c r="L905" s="1"/>
    </row>
    <row r="906" spans="2:12" ht="12.75">
      <c r="B906" s="1" t="s">
        <v>52</v>
      </c>
      <c r="C906" s="1"/>
      <c r="D906" s="1"/>
      <c r="E906" s="1"/>
      <c r="F906" s="1"/>
      <c r="G906" s="1"/>
      <c r="H906" s="1"/>
      <c r="J906" s="36"/>
      <c r="K906" s="36"/>
      <c r="L906" s="36"/>
    </row>
    <row r="907" spans="2:8" ht="12.75">
      <c r="B907" s="1"/>
      <c r="C907" s="1"/>
      <c r="D907" s="1"/>
      <c r="E907" s="1"/>
      <c r="F907" s="1"/>
      <c r="G907" s="1"/>
      <c r="H907" s="1"/>
    </row>
    <row r="908" spans="2:8" ht="12.75">
      <c r="B908" s="2" t="s">
        <v>0</v>
      </c>
      <c r="C908" s="2"/>
      <c r="D908" s="2"/>
      <c r="E908" s="1"/>
      <c r="F908" s="1"/>
      <c r="G908" s="1"/>
      <c r="H908" s="1"/>
    </row>
    <row r="909" spans="2:8" ht="12.75">
      <c r="B909" s="2" t="s">
        <v>65</v>
      </c>
      <c r="C909" s="2"/>
      <c r="D909" s="2"/>
      <c r="E909" s="1"/>
      <c r="F909" s="1"/>
      <c r="G909" s="1"/>
      <c r="H909" s="1"/>
    </row>
    <row r="910" spans="2:8" ht="12.75">
      <c r="B910" s="2" t="s">
        <v>94</v>
      </c>
      <c r="C910" s="2"/>
      <c r="D910" s="2"/>
      <c r="E910" s="1"/>
      <c r="F910" s="1"/>
      <c r="G910" s="1"/>
      <c r="H910" s="1"/>
    </row>
    <row r="911" spans="2:8" ht="12.75">
      <c r="B911" s="3"/>
      <c r="C911" s="3"/>
      <c r="D911" s="1"/>
      <c r="E911" s="1"/>
      <c r="F911" s="1"/>
      <c r="G911" s="1"/>
      <c r="H911" s="1"/>
    </row>
    <row r="912" spans="2:8" ht="12.75">
      <c r="B912" s="5" t="s">
        <v>4</v>
      </c>
      <c r="C912" s="31" t="s">
        <v>40</v>
      </c>
      <c r="D912" s="6" t="s">
        <v>41</v>
      </c>
      <c r="E912" s="1"/>
      <c r="F912" s="1"/>
      <c r="G912" s="1"/>
      <c r="H912" s="1"/>
    </row>
    <row r="913" spans="2:8" ht="12.75">
      <c r="B913" s="6"/>
      <c r="C913" s="6"/>
      <c r="D913" s="7"/>
      <c r="E913" s="1"/>
      <c r="F913" s="1"/>
      <c r="G913" s="1"/>
      <c r="H913" s="1"/>
    </row>
    <row r="914" spans="2:8" ht="12.75">
      <c r="B914" s="10" t="s">
        <v>42</v>
      </c>
      <c r="C914" s="8">
        <v>401.8</v>
      </c>
      <c r="D914" s="8"/>
      <c r="E914" s="1"/>
      <c r="F914" s="1"/>
      <c r="G914" s="1"/>
      <c r="H914" s="1"/>
    </row>
    <row r="915" spans="2:8" ht="12.75">
      <c r="B915" s="11" t="s">
        <v>13</v>
      </c>
      <c r="C915" s="30">
        <v>8.24</v>
      </c>
      <c r="D915" s="8">
        <f>C915/401.8/12*1000</f>
        <v>1.7089762734362037</v>
      </c>
      <c r="E915" s="1"/>
      <c r="F915" s="1"/>
      <c r="G915" s="1"/>
      <c r="H915" s="1"/>
    </row>
    <row r="916" spans="2:8" ht="12.75">
      <c r="B916" s="15" t="s">
        <v>14</v>
      </c>
      <c r="C916" s="9">
        <f>SUM(C917:C919)</f>
        <v>25.16</v>
      </c>
      <c r="D916" s="9">
        <f>SUM(D917:D919)</f>
        <v>5.218184834909573</v>
      </c>
      <c r="E916" s="1"/>
      <c r="F916" s="1"/>
      <c r="G916" s="1"/>
      <c r="H916" s="1"/>
    </row>
    <row r="917" spans="2:8" ht="12.75">
      <c r="B917" s="6" t="s">
        <v>43</v>
      </c>
      <c r="C917" s="8">
        <f>3.13+4.24</f>
        <v>7.37</v>
      </c>
      <c r="D917" s="8">
        <f>C917/401.8/12*1000</f>
        <v>1.528538244566119</v>
      </c>
      <c r="E917" s="1"/>
      <c r="F917" s="1"/>
      <c r="G917" s="1"/>
      <c r="H917" s="1"/>
    </row>
    <row r="918" spans="2:8" ht="12.75">
      <c r="B918" s="17" t="s">
        <v>44</v>
      </c>
      <c r="C918" s="8">
        <v>3.55</v>
      </c>
      <c r="D918" s="8">
        <f>C918/401.8/12*1000</f>
        <v>0.7362701178032188</v>
      </c>
      <c r="E918" s="1"/>
      <c r="F918" s="1"/>
      <c r="G918" s="1"/>
      <c r="H918" s="1"/>
    </row>
    <row r="919" spans="2:8" ht="12.75">
      <c r="B919" s="6" t="s">
        <v>16</v>
      </c>
      <c r="C919" s="8">
        <v>14.24</v>
      </c>
      <c r="D919" s="8">
        <f>C919/401.8/12*1000</f>
        <v>2.9533764725402354</v>
      </c>
      <c r="E919" s="1"/>
      <c r="F919" s="1"/>
      <c r="G919" s="1"/>
      <c r="H919" s="1"/>
    </row>
    <row r="920" spans="2:8" ht="12.75">
      <c r="B920" s="10" t="s">
        <v>19</v>
      </c>
      <c r="C920" s="22">
        <f>SUM(C921:C926)</f>
        <v>15.149999999999999</v>
      </c>
      <c r="D920" s="22">
        <f>SUM(D921:D926)</f>
        <v>3.1421105027376806</v>
      </c>
      <c r="E920" s="1"/>
      <c r="F920" s="1"/>
      <c r="G920" s="1"/>
      <c r="H920" s="1"/>
    </row>
    <row r="921" spans="2:8" ht="12.75">
      <c r="B921" s="6" t="s">
        <v>45</v>
      </c>
      <c r="C921" s="8">
        <f>8.39+1.69+0.85</f>
        <v>10.93</v>
      </c>
      <c r="D921" s="8">
        <f>C921/401.8/12*1000</f>
        <v>2.2668823627011783</v>
      </c>
      <c r="E921" s="1"/>
      <c r="F921" s="1"/>
      <c r="G921" s="1"/>
      <c r="H921" s="1"/>
    </row>
    <row r="922" spans="2:8" ht="12.75">
      <c r="B922" s="6" t="s">
        <v>46</v>
      </c>
      <c r="C922" s="8"/>
      <c r="D922" s="8">
        <f>C922/401.8/12*1000</f>
        <v>0</v>
      </c>
      <c r="E922" s="1"/>
      <c r="F922" s="1"/>
      <c r="G922" s="1"/>
      <c r="H922" s="1"/>
    </row>
    <row r="923" spans="2:8" ht="12.75">
      <c r="B923" s="20" t="s">
        <v>47</v>
      </c>
      <c r="C923" s="8">
        <v>0</v>
      </c>
      <c r="D923" s="8">
        <f>C923/401.8/12*1000</f>
        <v>0</v>
      </c>
      <c r="E923" s="1"/>
      <c r="F923" s="1"/>
      <c r="G923" s="1"/>
      <c r="H923" s="1"/>
    </row>
    <row r="924" spans="2:8" ht="12.75">
      <c r="B924" s="8" t="s">
        <v>48</v>
      </c>
      <c r="C924" s="8">
        <v>1.06</v>
      </c>
      <c r="D924" s="8">
        <f>C924/401.8/12*1000</f>
        <v>0.21984403517504564</v>
      </c>
      <c r="E924" s="1"/>
      <c r="F924" s="1"/>
      <c r="G924" s="1"/>
      <c r="H924" s="1"/>
    </row>
    <row r="925" spans="2:8" ht="12.75">
      <c r="B925" s="8" t="s">
        <v>67</v>
      </c>
      <c r="C925" s="8">
        <v>2.94</v>
      </c>
      <c r="D925" s="8">
        <f>C925/401.8/12*1000</f>
        <v>0.6097560975609756</v>
      </c>
      <c r="E925" s="1"/>
      <c r="F925" s="1"/>
      <c r="G925" s="1"/>
      <c r="H925" s="1"/>
    </row>
    <row r="926" spans="2:8" ht="12.75">
      <c r="B926" s="8" t="s">
        <v>50</v>
      </c>
      <c r="C926" s="8">
        <v>0.22</v>
      </c>
      <c r="D926" s="8">
        <f>C926/401.8/12*1000</f>
        <v>0.045628007300481166</v>
      </c>
      <c r="E926" s="1"/>
      <c r="F926" s="1"/>
      <c r="G926" s="1"/>
      <c r="H926" s="1"/>
    </row>
    <row r="927" spans="2:8" ht="12.75">
      <c r="B927" s="14" t="s">
        <v>27</v>
      </c>
      <c r="C927" s="14">
        <f>5.99+0.94</f>
        <v>6.930000000000001</v>
      </c>
      <c r="D927" s="14">
        <f>C927/401.8/12*1000</f>
        <v>1.4372822299651569</v>
      </c>
      <c r="E927" s="1"/>
      <c r="F927" s="1"/>
      <c r="G927" s="1"/>
      <c r="H927" s="1"/>
    </row>
    <row r="928" spans="2:8" ht="12.75">
      <c r="B928" s="14"/>
      <c r="C928" s="14"/>
      <c r="D928" s="8"/>
      <c r="E928" s="1"/>
      <c r="F928" s="1"/>
      <c r="G928" s="1"/>
      <c r="H928" s="1"/>
    </row>
    <row r="929" spans="2:8" ht="12.75">
      <c r="B929" s="14" t="s">
        <v>29</v>
      </c>
      <c r="C929" s="14">
        <f>C915+C916+C920+C927+C928</f>
        <v>55.48</v>
      </c>
      <c r="D929" s="14">
        <f>D915+D916+D920+D927+D928</f>
        <v>11.506553841048614</v>
      </c>
      <c r="E929" s="1"/>
      <c r="F929" s="1"/>
      <c r="G929" s="1"/>
      <c r="H929" s="1"/>
    </row>
    <row r="930" spans="2:8" ht="12.75">
      <c r="B930" s="8" t="s">
        <v>51</v>
      </c>
      <c r="C930" s="8">
        <v>5.55</v>
      </c>
      <c r="D930" s="8">
        <f>C930/401.8/12*1000</f>
        <v>1.1510701841712294</v>
      </c>
      <c r="E930" s="1"/>
      <c r="F930" s="1"/>
      <c r="G930" s="1"/>
      <c r="H930" s="1"/>
    </row>
    <row r="931" spans="2:8" ht="12.75">
      <c r="B931" s="14" t="s">
        <v>31</v>
      </c>
      <c r="C931" s="23">
        <f>C929+C930</f>
        <v>61.029999999999994</v>
      </c>
      <c r="D931" s="23">
        <f>D929+D930</f>
        <v>12.657624025219844</v>
      </c>
      <c r="E931" s="1"/>
      <c r="F931" s="1"/>
      <c r="G931" s="1"/>
      <c r="H931" s="1"/>
    </row>
    <row r="932" spans="2:8" ht="12.75">
      <c r="B932" s="6" t="s">
        <v>34</v>
      </c>
      <c r="C932" s="23">
        <f>C931/C914/12*1000</f>
        <v>12.65762402521984</v>
      </c>
      <c r="D932" s="8"/>
      <c r="E932" s="1"/>
      <c r="F932" s="1"/>
      <c r="G932" s="1"/>
      <c r="H932" s="1"/>
    </row>
    <row r="933" spans="2:8" ht="12.75">
      <c r="B933" s="1"/>
      <c r="C933" s="1"/>
      <c r="D933" s="1"/>
      <c r="E933" s="1"/>
      <c r="F933" s="1"/>
      <c r="G933" s="1"/>
      <c r="H933" s="1"/>
    </row>
    <row r="934" spans="2:8" ht="12.75">
      <c r="B934" s="1" t="s">
        <v>52</v>
      </c>
      <c r="C934" s="1"/>
      <c r="D934" s="1"/>
      <c r="E934" s="1"/>
      <c r="F934" s="1"/>
      <c r="G934" s="1"/>
      <c r="H934" s="1"/>
    </row>
    <row r="935" spans="2:8" ht="12.75">
      <c r="B935" s="1"/>
      <c r="C935" s="1"/>
      <c r="D935" s="1"/>
      <c r="E935" s="1"/>
      <c r="F935" s="1"/>
      <c r="G935" s="1"/>
      <c r="H935" s="1"/>
    </row>
    <row r="936" spans="2:8" ht="12.75">
      <c r="B936" s="2" t="s">
        <v>0</v>
      </c>
      <c r="C936" s="2"/>
      <c r="D936" s="2"/>
      <c r="E936" s="1"/>
      <c r="F936" s="1"/>
      <c r="G936" s="1"/>
      <c r="H936" s="1"/>
    </row>
    <row r="937" spans="2:8" ht="12.75">
      <c r="B937" s="2" t="s">
        <v>65</v>
      </c>
      <c r="C937" s="2"/>
      <c r="D937" s="2"/>
      <c r="E937" s="1"/>
      <c r="F937" s="1"/>
      <c r="G937" s="1"/>
      <c r="H937" s="1"/>
    </row>
    <row r="938" spans="2:8" ht="12.75">
      <c r="B938" s="2" t="s">
        <v>95</v>
      </c>
      <c r="C938" s="2"/>
      <c r="D938" s="2"/>
      <c r="E938" s="1"/>
      <c r="F938" s="1"/>
      <c r="G938" s="1"/>
      <c r="H938" s="1"/>
    </row>
    <row r="939" spans="2:8" ht="12.75">
      <c r="B939" s="3"/>
      <c r="C939" s="3"/>
      <c r="D939" s="1"/>
      <c r="E939" s="1"/>
      <c r="F939" s="1"/>
      <c r="G939" s="1"/>
      <c r="H939" s="1"/>
    </row>
    <row r="940" spans="2:8" ht="12.75">
      <c r="B940" s="5" t="s">
        <v>4</v>
      </c>
      <c r="C940" s="31" t="s">
        <v>40</v>
      </c>
      <c r="D940" s="6" t="s">
        <v>41</v>
      </c>
      <c r="E940" s="1"/>
      <c r="F940" s="1"/>
      <c r="G940" s="1"/>
      <c r="H940" s="1"/>
    </row>
    <row r="941" spans="2:8" ht="12.75">
      <c r="B941" s="6"/>
      <c r="C941" s="6"/>
      <c r="D941" s="7"/>
      <c r="E941" s="1"/>
      <c r="F941" s="1"/>
      <c r="G941" s="1"/>
      <c r="H941" s="1"/>
    </row>
    <row r="942" spans="2:8" ht="12.75">
      <c r="B942" s="10" t="s">
        <v>42</v>
      </c>
      <c r="C942" s="8">
        <v>3274.6</v>
      </c>
      <c r="D942" s="8"/>
      <c r="E942" s="1"/>
      <c r="F942" s="1"/>
      <c r="G942" s="1"/>
      <c r="H942" s="1"/>
    </row>
    <row r="943" spans="2:8" ht="12.75">
      <c r="B943" s="11" t="s">
        <v>13</v>
      </c>
      <c r="C943" s="30">
        <v>70.18</v>
      </c>
      <c r="D943" s="8">
        <f>C943/3274.6/12*1000</f>
        <v>1.785968769722511</v>
      </c>
      <c r="E943" s="1"/>
      <c r="F943" s="1"/>
      <c r="G943" s="1"/>
      <c r="H943" s="1"/>
    </row>
    <row r="944" spans="2:8" ht="12.75">
      <c r="B944" s="15" t="s">
        <v>14</v>
      </c>
      <c r="C944" s="9">
        <f>SUM(C945:C948)</f>
        <v>259.12</v>
      </c>
      <c r="D944" s="9">
        <f>SUM(D945:D948)</f>
        <v>6.594189621124208</v>
      </c>
      <c r="E944" s="1"/>
      <c r="F944" s="1"/>
      <c r="G944" s="1"/>
      <c r="H944" s="1"/>
    </row>
    <row r="945" spans="2:8" ht="12.75">
      <c r="B945" s="6" t="s">
        <v>43</v>
      </c>
      <c r="C945" s="8">
        <f>25.54+34.58</f>
        <v>60.12</v>
      </c>
      <c r="D945" s="8">
        <f>C945/3274.6/12*1000</f>
        <v>1.5299578574482378</v>
      </c>
      <c r="E945" s="1"/>
      <c r="F945" s="1"/>
      <c r="G945" s="1"/>
      <c r="H945" s="1"/>
    </row>
    <row r="946" spans="2:8" ht="12.75">
      <c r="B946" s="17" t="s">
        <v>44</v>
      </c>
      <c r="C946" s="8">
        <v>28.93</v>
      </c>
      <c r="D946" s="8">
        <f>C946/3274.6/12*1000</f>
        <v>0.7362222357947027</v>
      </c>
      <c r="E946" s="1"/>
      <c r="F946" s="1"/>
      <c r="G946" s="1"/>
      <c r="H946" s="1"/>
    </row>
    <row r="947" spans="2:8" ht="12.75">
      <c r="B947" s="6" t="s">
        <v>16</v>
      </c>
      <c r="C947" s="8">
        <v>161.79</v>
      </c>
      <c r="D947" s="8">
        <f>C947/3274.6/12*1000</f>
        <v>4.117296769071031</v>
      </c>
      <c r="E947" s="1"/>
      <c r="F947" s="1"/>
      <c r="G947" s="1"/>
      <c r="H947" s="1"/>
    </row>
    <row r="948" spans="2:8" ht="12.75">
      <c r="B948" s="6" t="s">
        <v>64</v>
      </c>
      <c r="C948" s="8">
        <v>8.28</v>
      </c>
      <c r="D948" s="8">
        <f>C948/3274.6/12*1000</f>
        <v>0.21071275881023635</v>
      </c>
      <c r="E948" s="1"/>
      <c r="F948" s="1"/>
      <c r="G948" s="1"/>
      <c r="H948" s="1"/>
    </row>
    <row r="949" spans="2:8" ht="12.75">
      <c r="B949" s="10" t="s">
        <v>19</v>
      </c>
      <c r="C949" s="22">
        <f>SUM(C950:C954)</f>
        <v>86.49</v>
      </c>
      <c r="D949" s="22">
        <f>SUM(D950:D954)</f>
        <v>2.2010321871373604</v>
      </c>
      <c r="E949" s="1"/>
      <c r="F949" s="1"/>
      <c r="G949" s="1"/>
      <c r="H949" s="1"/>
    </row>
    <row r="950" spans="2:8" ht="12.75">
      <c r="B950" s="6" t="s">
        <v>45</v>
      </c>
      <c r="C950" s="8">
        <f>58.65+11.85+5.94</f>
        <v>76.44</v>
      </c>
      <c r="D950" s="8">
        <f>C950/3274.6/12*1000</f>
        <v>1.9452757588713125</v>
      </c>
      <c r="E950" s="1"/>
      <c r="F950" s="1"/>
      <c r="G950" s="1"/>
      <c r="H950" s="1"/>
    </row>
    <row r="951" spans="2:8" ht="12.75">
      <c r="B951" s="6" t="s">
        <v>46</v>
      </c>
      <c r="C951" s="8">
        <v>0</v>
      </c>
      <c r="D951" s="8">
        <f>C951/3274.6/12*1000</f>
        <v>0</v>
      </c>
      <c r="E951" s="1"/>
      <c r="F951" s="1"/>
      <c r="G951" s="1"/>
      <c r="H951" s="1"/>
    </row>
    <row r="952" spans="2:8" ht="12.75">
      <c r="B952" s="20" t="s">
        <v>47</v>
      </c>
      <c r="C952" s="8">
        <v>1.67</v>
      </c>
      <c r="D952" s="8">
        <f>C952/3274.6/12*1000</f>
        <v>0.04249882937356217</v>
      </c>
      <c r="E952" s="1"/>
      <c r="F952" s="1"/>
      <c r="G952" s="1"/>
      <c r="H952" s="1"/>
    </row>
    <row r="953" spans="2:8" ht="12.75">
      <c r="B953" s="8" t="s">
        <v>48</v>
      </c>
      <c r="C953" s="8">
        <v>6.64</v>
      </c>
      <c r="D953" s="8">
        <f>C953/3274.6/12*1000</f>
        <v>0.16897738146134897</v>
      </c>
      <c r="E953" s="1"/>
      <c r="F953" s="1"/>
      <c r="G953" s="1"/>
      <c r="H953" s="1"/>
    </row>
    <row r="954" spans="2:8" ht="12.75">
      <c r="B954" s="8" t="s">
        <v>50</v>
      </c>
      <c r="C954" s="8">
        <v>1.74</v>
      </c>
      <c r="D954" s="8">
        <f>C954/3274.6/12*1000</f>
        <v>0.04428021743113663</v>
      </c>
      <c r="E954" s="1"/>
      <c r="F954" s="1"/>
      <c r="G954" s="1"/>
      <c r="H954" s="1"/>
    </row>
    <row r="955" spans="2:8" ht="12.75">
      <c r="B955" s="14" t="s">
        <v>27</v>
      </c>
      <c r="C955" s="14">
        <f>48.86+7.98</f>
        <v>56.84</v>
      </c>
      <c r="D955" s="14">
        <f>C955/3274.6/12*1000</f>
        <v>1.4464871027504633</v>
      </c>
      <c r="E955" s="1"/>
      <c r="F955" s="1"/>
      <c r="G955" s="1"/>
      <c r="H955" s="1"/>
    </row>
    <row r="956" spans="2:8" ht="12.75">
      <c r="B956" s="14"/>
      <c r="C956" s="14"/>
      <c r="D956" s="8"/>
      <c r="E956" s="1"/>
      <c r="F956" s="1"/>
      <c r="G956" s="1"/>
      <c r="H956" s="1"/>
    </row>
    <row r="957" spans="2:8" ht="12.75">
      <c r="B957" s="14" t="s">
        <v>29</v>
      </c>
      <c r="C957" s="14">
        <f>C943+C944+C949+C955+C956</f>
        <v>472.63</v>
      </c>
      <c r="D957" s="14">
        <f>D943+D944+D949+D955+D956</f>
        <v>12.027677680734545</v>
      </c>
      <c r="E957" s="1"/>
      <c r="F957" s="1"/>
      <c r="G957" s="1"/>
      <c r="H957" s="1"/>
    </row>
    <row r="958" spans="2:8" ht="12.75">
      <c r="B958" s="8" t="s">
        <v>51</v>
      </c>
      <c r="C958" s="8">
        <v>47.26</v>
      </c>
      <c r="D958" s="8">
        <f>C958/3274.6/12*1000</f>
        <v>1.2026914228709868</v>
      </c>
      <c r="E958" s="1"/>
      <c r="F958" s="1"/>
      <c r="G958" s="1"/>
      <c r="H958" s="1"/>
    </row>
    <row r="959" spans="2:8" ht="12.75">
      <c r="B959" s="14" t="s">
        <v>31</v>
      </c>
      <c r="C959" s="23">
        <f>C957+C958</f>
        <v>519.89</v>
      </c>
      <c r="D959" s="23">
        <f>D957+D958</f>
        <v>13.230369103605533</v>
      </c>
      <c r="E959" s="1"/>
      <c r="F959" s="1"/>
      <c r="G959" s="1"/>
      <c r="H959" s="1"/>
    </row>
    <row r="960" spans="2:8" ht="12.75">
      <c r="B960" s="6" t="s">
        <v>34</v>
      </c>
      <c r="C960" s="23">
        <f>C959/C942/12*1000</f>
        <v>13.23036910360553</v>
      </c>
      <c r="D960" s="8"/>
      <c r="E960" s="1"/>
      <c r="F960" s="1"/>
      <c r="G960" s="1"/>
      <c r="H960" s="1"/>
    </row>
    <row r="961" spans="2:8" ht="12.75">
      <c r="B961" s="1"/>
      <c r="C961" s="1"/>
      <c r="D961" s="1"/>
      <c r="E961" s="1"/>
      <c r="F961" s="1"/>
      <c r="G961" s="1"/>
      <c r="H961" s="1"/>
    </row>
    <row r="962" spans="2:8" ht="12.75">
      <c r="B962" s="1" t="s">
        <v>52</v>
      </c>
      <c r="C962" s="1"/>
      <c r="D962" s="1"/>
      <c r="E962" s="1"/>
      <c r="F962" s="1"/>
      <c r="G962" s="1"/>
      <c r="H962" s="1"/>
    </row>
    <row r="963" spans="2:8" ht="12.75">
      <c r="B963" s="1"/>
      <c r="C963" s="1"/>
      <c r="D963" s="1"/>
      <c r="E963" s="1"/>
      <c r="F963" s="1"/>
      <c r="G963" s="1"/>
      <c r="H963" s="1"/>
    </row>
    <row r="964" spans="2:8" ht="12.75">
      <c r="B964" s="2" t="s">
        <v>0</v>
      </c>
      <c r="C964" s="2"/>
      <c r="D964" s="2"/>
      <c r="E964" s="1"/>
      <c r="F964" s="1"/>
      <c r="G964" s="1"/>
      <c r="H964" s="1"/>
    </row>
    <row r="965" spans="2:8" ht="12.75">
      <c r="B965" s="2" t="s">
        <v>65</v>
      </c>
      <c r="C965" s="2"/>
      <c r="D965" s="2"/>
      <c r="E965" s="1"/>
      <c r="F965" s="1"/>
      <c r="G965" s="1"/>
      <c r="H965" s="1"/>
    </row>
    <row r="966" spans="2:8" ht="12.75">
      <c r="B966" s="2" t="s">
        <v>96</v>
      </c>
      <c r="C966" s="2"/>
      <c r="D966" s="2"/>
      <c r="E966" s="1"/>
      <c r="F966" s="1"/>
      <c r="G966" s="1"/>
      <c r="H966" s="1"/>
    </row>
    <row r="967" spans="2:8" ht="12.75">
      <c r="B967" s="3"/>
      <c r="C967" s="3"/>
      <c r="D967" s="1"/>
      <c r="E967" s="1"/>
      <c r="F967" s="1"/>
      <c r="G967" s="1"/>
      <c r="H967" s="1"/>
    </row>
    <row r="968" spans="2:8" ht="12.75">
      <c r="B968" s="5" t="s">
        <v>4</v>
      </c>
      <c r="C968" s="6" t="s">
        <v>63</v>
      </c>
      <c r="D968" s="6" t="s">
        <v>41</v>
      </c>
      <c r="E968" s="1"/>
      <c r="F968" s="1"/>
      <c r="G968" s="1"/>
      <c r="H968" s="1"/>
    </row>
    <row r="969" spans="2:8" ht="12.75">
      <c r="B969" s="6"/>
      <c r="C969" s="6"/>
      <c r="D969" s="7"/>
      <c r="E969" s="1"/>
      <c r="F969" s="1"/>
      <c r="G969" s="1"/>
      <c r="H969" s="1"/>
    </row>
    <row r="970" spans="2:8" ht="12.75">
      <c r="B970" s="10" t="s">
        <v>42</v>
      </c>
      <c r="C970" s="8">
        <v>2849.3</v>
      </c>
      <c r="D970" s="8"/>
      <c r="E970" s="1"/>
      <c r="F970" s="1"/>
      <c r="G970" s="1"/>
      <c r="H970" s="1"/>
    </row>
    <row r="971" spans="2:8" ht="12.75">
      <c r="B971" s="11" t="s">
        <v>13</v>
      </c>
      <c r="C971" s="30">
        <v>56.3</v>
      </c>
      <c r="D971" s="8">
        <f>C971/2849.3/12*1000</f>
        <v>1.6466032592800568</v>
      </c>
      <c r="E971" s="1"/>
      <c r="F971" s="1"/>
      <c r="G971" s="1"/>
      <c r="H971" s="1"/>
    </row>
    <row r="972" spans="2:8" ht="12.75">
      <c r="B972" s="15" t="s">
        <v>14</v>
      </c>
      <c r="C972" s="9">
        <f>SUM(C973:C975)</f>
        <v>226.94</v>
      </c>
      <c r="D972" s="8">
        <f>C972/2849.3/12*1000</f>
        <v>6.637302729325331</v>
      </c>
      <c r="E972" s="1"/>
      <c r="F972" s="1"/>
      <c r="G972" s="1"/>
      <c r="H972" s="1"/>
    </row>
    <row r="973" spans="2:8" ht="12.75">
      <c r="B973" s="6" t="s">
        <v>59</v>
      </c>
      <c r="C973" s="8">
        <f>22.23+30.09</f>
        <v>52.32</v>
      </c>
      <c r="D973" s="8">
        <f>C973/2849.3/12*1000</f>
        <v>1.5302004000982696</v>
      </c>
      <c r="E973" s="1"/>
      <c r="F973" s="1"/>
      <c r="G973" s="1"/>
      <c r="H973" s="1"/>
    </row>
    <row r="974" spans="2:8" ht="12.75">
      <c r="B974" s="17" t="s">
        <v>44</v>
      </c>
      <c r="C974" s="8">
        <v>25.17</v>
      </c>
      <c r="D974" s="8">
        <f>C974/2849.3/12*1000</f>
        <v>0.7361457200014038</v>
      </c>
      <c r="E974" s="1"/>
      <c r="F974" s="1"/>
      <c r="G974" s="1"/>
      <c r="H974" s="1"/>
    </row>
    <row r="975" spans="2:8" ht="12.75">
      <c r="B975" s="6" t="s">
        <v>16</v>
      </c>
      <c r="C975" s="8">
        <v>149.45</v>
      </c>
      <c r="D975" s="8">
        <f>C975/2849.3/12*1000</f>
        <v>4.370956609225657</v>
      </c>
      <c r="E975" s="1"/>
      <c r="F975" s="1"/>
      <c r="G975" s="1"/>
      <c r="H975" s="1"/>
    </row>
    <row r="976" spans="2:8" ht="12.75">
      <c r="B976" s="10" t="s">
        <v>19</v>
      </c>
      <c r="C976" s="22">
        <f>SUM(C977:C981)</f>
        <v>61.47000000000001</v>
      </c>
      <c r="D976" s="8">
        <f>C976/2849.3/12*1000</f>
        <v>1.7978099884182082</v>
      </c>
      <c r="E976" s="1"/>
      <c r="F976" s="1"/>
      <c r="G976" s="1"/>
      <c r="H976" s="1"/>
    </row>
    <row r="977" spans="2:8" ht="12.75">
      <c r="B977" s="6" t="s">
        <v>45</v>
      </c>
      <c r="C977" s="8">
        <f>40.38+8.16+4.09</f>
        <v>52.63000000000001</v>
      </c>
      <c r="D977" s="8">
        <f>C977/2849.3/12*1000</f>
        <v>1.5392669544566502</v>
      </c>
      <c r="E977" s="1"/>
      <c r="F977" s="1"/>
      <c r="G977" s="1"/>
      <c r="H977" s="1"/>
    </row>
    <row r="978" spans="2:8" ht="12.75">
      <c r="B978" s="6" t="s">
        <v>46</v>
      </c>
      <c r="C978" s="8">
        <v>0</v>
      </c>
      <c r="D978" s="8">
        <f>C978/2849.3/12*1000</f>
        <v>0</v>
      </c>
      <c r="E978" s="1"/>
      <c r="F978" s="1"/>
      <c r="G978" s="1"/>
      <c r="H978" s="1"/>
    </row>
    <row r="979" spans="2:8" ht="12.75">
      <c r="B979" s="20" t="s">
        <v>47</v>
      </c>
      <c r="C979" s="8">
        <v>0.93</v>
      </c>
      <c r="D979" s="8">
        <f>C979/2849.3/12*1000</f>
        <v>0.02719966307514126</v>
      </c>
      <c r="E979" s="1"/>
      <c r="F979" s="1"/>
      <c r="G979" s="1"/>
      <c r="H979" s="1"/>
    </row>
    <row r="980" spans="2:8" ht="12.75">
      <c r="B980" s="8" t="s">
        <v>48</v>
      </c>
      <c r="C980" s="8">
        <v>6.77</v>
      </c>
      <c r="D980" s="8">
        <f>C980/2849.3/12*1000</f>
        <v>0.1980018484072111</v>
      </c>
      <c r="E980" s="1"/>
      <c r="F980" s="1"/>
      <c r="G980" s="1"/>
      <c r="H980" s="1"/>
    </row>
    <row r="981" spans="2:8" ht="12.75">
      <c r="B981" s="8" t="s">
        <v>50</v>
      </c>
      <c r="C981" s="8">
        <v>1.1400000000000001</v>
      </c>
      <c r="D981" s="8">
        <f>C981/2849.3/12*1000</f>
        <v>0.03334152247920542</v>
      </c>
      <c r="E981" s="1"/>
      <c r="F981" s="1"/>
      <c r="G981" s="1"/>
      <c r="H981" s="1"/>
    </row>
    <row r="982" spans="2:8" ht="12.75">
      <c r="B982" s="14" t="s">
        <v>27</v>
      </c>
      <c r="C982" s="14">
        <f>42.51+6.4</f>
        <v>48.91</v>
      </c>
      <c r="D982" s="8">
        <f>C982/2849.3/12*1000</f>
        <v>1.430468302156085</v>
      </c>
      <c r="E982" s="1"/>
      <c r="F982" s="1"/>
      <c r="G982" s="1"/>
      <c r="H982" s="1"/>
    </row>
    <row r="983" spans="2:8" ht="12.75">
      <c r="B983" s="14"/>
      <c r="C983" s="14"/>
      <c r="D983" s="8"/>
      <c r="E983" s="1"/>
      <c r="F983" s="1"/>
      <c r="G983" s="1"/>
      <c r="H983" s="1"/>
    </row>
    <row r="984" spans="2:8" ht="12.75">
      <c r="B984" s="14" t="s">
        <v>29</v>
      </c>
      <c r="C984" s="14">
        <f>C971+C972+C976+C982+C983</f>
        <v>393.62</v>
      </c>
      <c r="D984" s="8">
        <f>C984/2849.3/12*1000</f>
        <v>11.512184279179682</v>
      </c>
      <c r="E984" s="1"/>
      <c r="F984" s="1"/>
      <c r="G984" s="1"/>
      <c r="H984" s="1"/>
    </row>
    <row r="985" spans="2:8" ht="12.75">
      <c r="B985" s="8" t="s">
        <v>51</v>
      </c>
      <c r="C985" s="8">
        <v>39.36</v>
      </c>
      <c r="D985" s="8">
        <f>C985/2849.3/12*1000</f>
        <v>1.1511599340188816</v>
      </c>
      <c r="E985" s="1"/>
      <c r="F985" s="1"/>
      <c r="G985" s="1"/>
      <c r="H985" s="1"/>
    </row>
    <row r="986" spans="2:8" ht="12.75">
      <c r="B986" s="14" t="s">
        <v>31</v>
      </c>
      <c r="C986" s="23">
        <f>C984+C985</f>
        <v>432.98</v>
      </c>
      <c r="D986" s="23">
        <f>D984+D985</f>
        <v>12.663344213198563</v>
      </c>
      <c r="E986" s="1"/>
      <c r="F986" s="1"/>
      <c r="G986" s="1"/>
      <c r="H986" s="1"/>
    </row>
    <row r="987" spans="2:8" ht="12.75">
      <c r="B987" s="6" t="s">
        <v>34</v>
      </c>
      <c r="C987" s="23">
        <f>C986/C970/12*1000</f>
        <v>12.663344213198563</v>
      </c>
      <c r="D987" s="8"/>
      <c r="E987" s="1"/>
      <c r="F987" s="1"/>
      <c r="G987" s="1"/>
      <c r="H987" s="1"/>
    </row>
    <row r="988" spans="2:8" ht="12.75">
      <c r="B988" s="1"/>
      <c r="C988" s="1"/>
      <c r="D988" s="1"/>
      <c r="E988" s="1"/>
      <c r="F988" s="1"/>
      <c r="G988" s="1"/>
      <c r="H988" s="1"/>
    </row>
    <row r="989" spans="2:8" ht="12.75">
      <c r="B989" s="1" t="s">
        <v>52</v>
      </c>
      <c r="C989" s="1"/>
      <c r="D989" s="1"/>
      <c r="E989" s="1"/>
      <c r="F989" s="1"/>
      <c r="G989" s="1"/>
      <c r="H989" s="1"/>
    </row>
    <row r="990" spans="2:8" ht="12.75">
      <c r="B990" s="1"/>
      <c r="C990" s="1"/>
      <c r="D990" s="1"/>
      <c r="E990" s="1"/>
      <c r="F990" s="1"/>
      <c r="G990" s="1"/>
      <c r="H990" s="1"/>
    </row>
    <row r="991" spans="2:15" ht="12.75">
      <c r="B991" s="2" t="s">
        <v>0</v>
      </c>
      <c r="C991" s="2"/>
      <c r="D991" s="2"/>
      <c r="E991" s="1"/>
      <c r="F991" s="1"/>
      <c r="G991" s="1"/>
      <c r="J991" s="2"/>
      <c r="K991" s="2"/>
      <c r="L991" s="2"/>
      <c r="M991" s="2"/>
      <c r="N991" s="2"/>
      <c r="O991" s="2"/>
    </row>
    <row r="992" spans="2:15" ht="12.75">
      <c r="B992" s="2" t="s">
        <v>65</v>
      </c>
      <c r="C992" s="2"/>
      <c r="D992" s="2"/>
      <c r="E992" s="1"/>
      <c r="F992" s="1"/>
      <c r="G992" s="1"/>
      <c r="J992" s="2"/>
      <c r="K992" s="2"/>
      <c r="L992" s="2"/>
      <c r="M992" s="2"/>
      <c r="N992" s="2"/>
      <c r="O992" s="2"/>
    </row>
    <row r="993" spans="2:15" ht="12.75">
      <c r="B993" s="2" t="s">
        <v>97</v>
      </c>
      <c r="C993" s="2"/>
      <c r="D993" s="2"/>
      <c r="E993" s="1"/>
      <c r="F993" s="1"/>
      <c r="G993" s="1"/>
      <c r="J993" s="2"/>
      <c r="K993" s="2"/>
      <c r="L993" s="2"/>
      <c r="M993" s="2"/>
      <c r="N993" s="2"/>
      <c r="O993" s="2"/>
    </row>
    <row r="994" spans="2:12" ht="12.75">
      <c r="B994" s="3"/>
      <c r="C994" s="3"/>
      <c r="D994" s="1"/>
      <c r="E994" s="1"/>
      <c r="F994" s="1"/>
      <c r="G994" s="1"/>
      <c r="J994" s="2"/>
      <c r="K994" s="2"/>
      <c r="L994" s="1"/>
    </row>
    <row r="995" spans="2:12" ht="12.75">
      <c r="B995" s="5" t="s">
        <v>4</v>
      </c>
      <c r="C995" s="6" t="s">
        <v>63</v>
      </c>
      <c r="D995" s="6" t="s">
        <v>41</v>
      </c>
      <c r="E995" s="1"/>
      <c r="F995" s="1"/>
      <c r="G995" s="1"/>
      <c r="J995" s="2"/>
      <c r="K995" s="2"/>
      <c r="L995" s="1"/>
    </row>
    <row r="996" spans="2:16" ht="12.75" customHeight="1">
      <c r="B996" s="6"/>
      <c r="C996" s="6"/>
      <c r="D996" s="7"/>
      <c r="E996" s="1"/>
      <c r="F996" s="1"/>
      <c r="G996" s="1"/>
      <c r="J996" s="46"/>
      <c r="K996" s="27"/>
      <c r="L996" s="27"/>
      <c r="M996" s="47"/>
      <c r="N996" s="47"/>
      <c r="O996" s="48"/>
      <c r="P996" s="48"/>
    </row>
    <row r="997" spans="2:16" ht="76.5" customHeight="1">
      <c r="B997" s="10" t="s">
        <v>42</v>
      </c>
      <c r="C997" s="8">
        <v>2612</v>
      </c>
      <c r="D997" s="8"/>
      <c r="E997" s="1"/>
      <c r="F997" s="1"/>
      <c r="G997" s="1"/>
      <c r="J997" s="46"/>
      <c r="K997" s="27"/>
      <c r="L997" s="27"/>
      <c r="M997" s="35"/>
      <c r="N997" s="27"/>
      <c r="O997" s="35"/>
      <c r="P997" s="27"/>
    </row>
    <row r="998" spans="2:16" ht="12.75">
      <c r="B998" s="11" t="s">
        <v>13</v>
      </c>
      <c r="C998" s="30">
        <v>52.97</v>
      </c>
      <c r="D998" s="8">
        <f>C998/2612/12*1000</f>
        <v>1.6899566105155692</v>
      </c>
      <c r="E998" s="1"/>
      <c r="F998" s="1"/>
      <c r="G998" s="1"/>
      <c r="J998" s="27"/>
      <c r="K998" s="27"/>
      <c r="L998" s="34"/>
      <c r="M998" s="49"/>
      <c r="N998" s="49"/>
      <c r="O998" s="49"/>
      <c r="P998" s="49"/>
    </row>
    <row r="999" spans="2:16" ht="12.75">
      <c r="B999" s="15" t="s">
        <v>14</v>
      </c>
      <c r="C999" s="9">
        <f>SUM(C1000:C1002)</f>
        <v>192.91000000000003</v>
      </c>
      <c r="D999" s="8">
        <f>C999/2612/12*1000</f>
        <v>6.15460694231751</v>
      </c>
      <c r="E999" s="1"/>
      <c r="F999" s="1"/>
      <c r="G999" s="1"/>
      <c r="J999" s="40"/>
      <c r="K999" s="36"/>
      <c r="L999" s="36"/>
      <c r="M999" s="50"/>
      <c r="N999" s="50"/>
      <c r="O999" s="50"/>
      <c r="P999" s="50"/>
    </row>
    <row r="1000" spans="2:16" ht="12.75">
      <c r="B1000" s="6" t="s">
        <v>59</v>
      </c>
      <c r="C1000" s="8">
        <f>20.37+27.58</f>
        <v>47.95</v>
      </c>
      <c r="D1000" s="8">
        <f>C1000/2612/12*1000</f>
        <v>1.5297983665135273</v>
      </c>
      <c r="E1000" s="1"/>
      <c r="F1000" s="1"/>
      <c r="G1000" s="1"/>
      <c r="J1000" s="41"/>
      <c r="K1000" s="30"/>
      <c r="L1000" s="36"/>
      <c r="M1000" s="50"/>
      <c r="N1000" s="50"/>
      <c r="O1000" s="50"/>
      <c r="P1000" s="50"/>
    </row>
    <row r="1001" spans="2:16" ht="12.75">
      <c r="B1001" s="17" t="s">
        <v>44</v>
      </c>
      <c r="C1001" s="8">
        <v>23.07</v>
      </c>
      <c r="D1001" s="8">
        <f>C1001/2612/12*1000</f>
        <v>0.7360260336906586</v>
      </c>
      <c r="E1001" s="1"/>
      <c r="F1001" s="1"/>
      <c r="G1001" s="1"/>
      <c r="J1001" s="42"/>
      <c r="K1001" s="2"/>
      <c r="L1001" s="2"/>
      <c r="M1001" s="2"/>
      <c r="N1001" s="2"/>
      <c r="O1001" s="2"/>
      <c r="P1001" s="2"/>
    </row>
    <row r="1002" spans="2:16" ht="12.75">
      <c r="B1002" s="6" t="s">
        <v>16</v>
      </c>
      <c r="C1002" s="8">
        <v>121.89</v>
      </c>
      <c r="D1002" s="8">
        <f>C1002/2612/12*1000</f>
        <v>3.8887825421133235</v>
      </c>
      <c r="E1002" s="1"/>
      <c r="F1002" s="1"/>
      <c r="G1002" s="1"/>
      <c r="J1002" s="27"/>
      <c r="K1002" s="36"/>
      <c r="L1002" s="36"/>
      <c r="M1002" s="50"/>
      <c r="N1002" s="50"/>
      <c r="O1002" s="50"/>
      <c r="P1002" s="50"/>
    </row>
    <row r="1003" spans="2:16" ht="15" customHeight="1">
      <c r="B1003" s="10" t="s">
        <v>19</v>
      </c>
      <c r="C1003" s="22">
        <f>SUM(C1004:C1009)</f>
        <v>69.91000000000001</v>
      </c>
      <c r="D1003" s="8">
        <f>C1003/2612/12*1000</f>
        <v>2.2304109239407865</v>
      </c>
      <c r="E1003" s="1"/>
      <c r="F1003" s="1"/>
      <c r="G1003" s="1"/>
      <c r="J1003" s="43"/>
      <c r="K1003" s="36"/>
      <c r="L1003" s="36"/>
      <c r="M1003" s="50"/>
      <c r="N1003" s="50"/>
      <c r="O1003" s="50"/>
      <c r="P1003" s="50"/>
    </row>
    <row r="1004" spans="2:16" ht="13.5" customHeight="1">
      <c r="B1004" s="6" t="s">
        <v>45</v>
      </c>
      <c r="C1004" s="8">
        <f>46.46+9.38+4.7</f>
        <v>60.540000000000006</v>
      </c>
      <c r="D1004" s="8">
        <f>C1004/2612/12*1000</f>
        <v>1.9314701378254215</v>
      </c>
      <c r="E1004" s="1"/>
      <c r="F1004" s="1"/>
      <c r="G1004" s="1"/>
      <c r="J1004" s="27"/>
      <c r="K1004" s="36"/>
      <c r="L1004" s="36"/>
      <c r="M1004" s="50"/>
      <c r="N1004" s="50"/>
      <c r="O1004" s="50"/>
      <c r="P1004" s="50"/>
    </row>
    <row r="1005" spans="2:16" ht="12.75">
      <c r="B1005" s="6" t="s">
        <v>46</v>
      </c>
      <c r="C1005" s="8">
        <v>0</v>
      </c>
      <c r="D1005" s="8">
        <f>C1005/2612/12*1000</f>
        <v>0</v>
      </c>
      <c r="E1005" s="1"/>
      <c r="F1005" s="1"/>
      <c r="G1005" s="1"/>
      <c r="J1005" s="40"/>
      <c r="K1005" s="37"/>
      <c r="L1005" s="37"/>
      <c r="M1005" s="37"/>
      <c r="N1005" s="37"/>
      <c r="O1005" s="37"/>
      <c r="P1005" s="37"/>
    </row>
    <row r="1006" spans="2:16" ht="12.75">
      <c r="B1006" s="6"/>
      <c r="C1006" s="8"/>
      <c r="D1006" s="8"/>
      <c r="E1006" s="1"/>
      <c r="F1006" s="1"/>
      <c r="G1006" s="1"/>
      <c r="J1006" s="27"/>
      <c r="K1006" s="37"/>
      <c r="L1006" s="37"/>
      <c r="M1006" s="37"/>
      <c r="N1006" s="37"/>
      <c r="O1006" s="37"/>
      <c r="P1006" s="37"/>
    </row>
    <row r="1007" spans="2:16" ht="12.75">
      <c r="B1007" s="20" t="s">
        <v>47</v>
      </c>
      <c r="C1007" s="8">
        <v>0.22</v>
      </c>
      <c r="D1007" s="8">
        <f>C1007/2612/12*1000</f>
        <v>0.00701888718734048</v>
      </c>
      <c r="E1007" s="1"/>
      <c r="F1007" s="1"/>
      <c r="G1007" s="1"/>
      <c r="J1007" s="27"/>
      <c r="K1007" s="36"/>
      <c r="L1007" s="36"/>
      <c r="M1007" s="50"/>
      <c r="N1007" s="50"/>
      <c r="O1007" s="50"/>
      <c r="P1007" s="50"/>
    </row>
    <row r="1008" spans="2:16" ht="12.75">
      <c r="B1008" s="8" t="s">
        <v>48</v>
      </c>
      <c r="C1008" s="8">
        <v>7.43</v>
      </c>
      <c r="D1008" s="8">
        <f>C1008/2612/12*1000</f>
        <v>0.23704696273608983</v>
      </c>
      <c r="E1008" s="1"/>
      <c r="F1008" s="1"/>
      <c r="G1008" s="1"/>
      <c r="J1008" s="27"/>
      <c r="K1008" s="36"/>
      <c r="L1008" s="36"/>
      <c r="M1008" s="50"/>
      <c r="N1008" s="50"/>
      <c r="O1008" s="50"/>
      <c r="P1008" s="50"/>
    </row>
    <row r="1009" spans="2:16" ht="12.75">
      <c r="B1009" s="8" t="s">
        <v>50</v>
      </c>
      <c r="C1009" s="8">
        <v>1.72</v>
      </c>
      <c r="D1009" s="8">
        <f>C1009/2612/12*1000</f>
        <v>0.05487493619193466</v>
      </c>
      <c r="E1009" s="1"/>
      <c r="F1009" s="1"/>
      <c r="G1009" s="1"/>
      <c r="J1009" s="44"/>
      <c r="K1009" s="36"/>
      <c r="L1009" s="36"/>
      <c r="M1009" s="50"/>
      <c r="N1009" s="50"/>
      <c r="O1009" s="50"/>
      <c r="P1009" s="50"/>
    </row>
    <row r="1010" spans="2:16" ht="12.75">
      <c r="B1010" s="14" t="s">
        <v>27</v>
      </c>
      <c r="C1010" s="14">
        <f>38.97+6.02</f>
        <v>44.989999999999995</v>
      </c>
      <c r="D1010" s="8">
        <f>C1010/2612/12*1000</f>
        <v>1.4353624298111278</v>
      </c>
      <c r="E1010" s="1"/>
      <c r="F1010" s="1"/>
      <c r="G1010" s="1"/>
      <c r="J1010" s="36"/>
      <c r="K1010" s="36"/>
      <c r="L1010" s="36"/>
      <c r="M1010" s="50"/>
      <c r="N1010" s="50"/>
      <c r="O1010" s="50"/>
      <c r="P1010" s="50"/>
    </row>
    <row r="1011" spans="2:16" ht="12.75">
      <c r="B1011" s="14"/>
      <c r="C1011" s="14"/>
      <c r="D1011" s="8"/>
      <c r="E1011" s="1"/>
      <c r="F1011" s="1"/>
      <c r="G1011" s="1"/>
      <c r="J1011" s="43"/>
      <c r="K1011" s="36"/>
      <c r="L1011" s="36"/>
      <c r="M1011" s="50"/>
      <c r="N1011" s="50"/>
      <c r="O1011" s="50"/>
      <c r="P1011" s="50"/>
    </row>
    <row r="1012" spans="2:16" ht="12.75">
      <c r="B1012" s="14" t="s">
        <v>29</v>
      </c>
      <c r="C1012" s="14">
        <f>C998+C999+C1003+C1010+C1011</f>
        <v>360.78000000000003</v>
      </c>
      <c r="D1012" s="14">
        <f>D998+D999+D1003+D1010+D1011</f>
        <v>11.510336906584994</v>
      </c>
      <c r="E1012" s="1"/>
      <c r="F1012" s="1"/>
      <c r="G1012" s="1"/>
      <c r="J1012" s="38"/>
      <c r="K1012" s="38"/>
      <c r="L1012" s="38"/>
      <c r="M1012" s="51"/>
      <c r="N1012" s="51"/>
      <c r="O1012" s="51"/>
      <c r="P1012" s="51"/>
    </row>
    <row r="1013" spans="2:16" ht="12.75">
      <c r="B1013" s="8" t="s">
        <v>51</v>
      </c>
      <c r="C1013" s="8">
        <v>36.08</v>
      </c>
      <c r="D1013" s="8">
        <v>1.15</v>
      </c>
      <c r="E1013" s="1"/>
      <c r="F1013" s="1"/>
      <c r="G1013" s="1"/>
      <c r="J1013" s="38"/>
      <c r="K1013" s="38"/>
      <c r="L1013" s="36"/>
      <c r="M1013" s="50"/>
      <c r="N1013" s="50"/>
      <c r="O1013" s="50"/>
      <c r="P1013" s="50"/>
    </row>
    <row r="1014" spans="2:16" ht="12.75">
      <c r="B1014" s="14" t="s">
        <v>31</v>
      </c>
      <c r="C1014" s="23">
        <f>C1012+C1013</f>
        <v>396.86</v>
      </c>
      <c r="D1014" s="23">
        <f>D1012+D1013</f>
        <v>12.660336906584995</v>
      </c>
      <c r="E1014" s="1"/>
      <c r="F1014" s="1"/>
      <c r="G1014" s="1"/>
      <c r="J1014" s="38"/>
      <c r="K1014" s="38"/>
      <c r="L1014" s="38"/>
      <c r="M1014" s="38"/>
      <c r="N1014" s="38"/>
      <c r="O1014" s="38"/>
      <c r="P1014" s="38"/>
    </row>
    <row r="1015" spans="2:16" ht="13.5" customHeight="1">
      <c r="B1015" s="6" t="s">
        <v>34</v>
      </c>
      <c r="C1015" s="23">
        <f>C1014/C997/12*1000</f>
        <v>12.661434405308832</v>
      </c>
      <c r="D1015" s="8"/>
      <c r="E1015" s="1"/>
      <c r="F1015" s="1"/>
      <c r="G1015" s="1"/>
      <c r="J1015" s="36"/>
      <c r="K1015" s="36"/>
      <c r="L1015" s="36"/>
      <c r="M1015" s="50"/>
      <c r="N1015" s="50"/>
      <c r="O1015" s="50"/>
      <c r="P1015" s="50"/>
    </row>
    <row r="1016" spans="2:16" ht="12.75">
      <c r="B1016" s="1"/>
      <c r="C1016" s="1"/>
      <c r="D1016" s="1"/>
      <c r="E1016" s="1"/>
      <c r="F1016" s="1"/>
      <c r="G1016" s="1"/>
      <c r="J1016" s="38"/>
      <c r="K1016" s="45"/>
      <c r="L1016" s="45"/>
      <c r="M1016" s="51"/>
      <c r="N1016" s="51"/>
      <c r="O1016" s="51"/>
      <c r="P1016" s="51"/>
    </row>
    <row r="1017" spans="2:16" ht="12.75">
      <c r="B1017" s="1" t="s">
        <v>52</v>
      </c>
      <c r="C1017" s="1"/>
      <c r="D1017" s="1"/>
      <c r="E1017" s="1"/>
      <c r="F1017" s="1"/>
      <c r="G1017" s="1"/>
      <c r="J1017" s="27"/>
      <c r="K1017" s="45"/>
      <c r="L1017" s="36"/>
      <c r="M1017" s="50"/>
      <c r="N1017" s="50"/>
      <c r="O1017" s="50"/>
      <c r="P1017" s="50"/>
    </row>
    <row r="1018" spans="2:16" ht="12.75">
      <c r="B1018" s="1"/>
      <c r="C1018" s="1"/>
      <c r="D1018" s="1"/>
      <c r="E1018" s="1"/>
      <c r="F1018" s="1"/>
      <c r="G1018" s="1"/>
      <c r="J1018" s="27"/>
      <c r="K1018" s="45"/>
      <c r="L1018" s="36"/>
      <c r="M1018" s="50"/>
      <c r="N1018" s="50"/>
      <c r="O1018" s="50"/>
      <c r="P1018" s="50"/>
    </row>
    <row r="1019" spans="2:16" ht="12.75">
      <c r="B1019" s="1"/>
      <c r="C1019" s="1"/>
      <c r="D1019" s="1"/>
      <c r="E1019" s="1"/>
      <c r="F1019" s="1"/>
      <c r="G1019" s="1"/>
      <c r="J1019" s="36"/>
      <c r="K1019" s="36"/>
      <c r="L1019" s="36"/>
      <c r="M1019" s="36"/>
      <c r="N1019" s="36"/>
      <c r="O1019" s="36"/>
      <c r="P1019" s="50"/>
    </row>
    <row r="1020" spans="2:12" ht="12.75">
      <c r="B1020" s="1"/>
      <c r="C1020" s="1"/>
      <c r="D1020" s="1"/>
      <c r="E1020" s="1"/>
      <c r="F1020" s="1"/>
      <c r="G1020" s="1"/>
      <c r="J1020" s="1"/>
      <c r="K1020" s="1"/>
      <c r="L1020" s="1"/>
    </row>
    <row r="1021" spans="2:12" ht="12.75">
      <c r="B1021" s="2" t="s">
        <v>0</v>
      </c>
      <c r="C1021" s="2"/>
      <c r="D1021" s="2"/>
      <c r="E1021" s="1"/>
      <c r="F1021" s="1"/>
      <c r="G1021" s="1"/>
      <c r="J1021" s="2"/>
      <c r="K1021" s="2"/>
      <c r="L1021" s="2"/>
    </row>
    <row r="1022" spans="2:12" ht="12.75">
      <c r="B1022" s="2" t="s">
        <v>65</v>
      </c>
      <c r="C1022" s="2"/>
      <c r="D1022" s="2"/>
      <c r="E1022" s="1"/>
      <c r="F1022" s="1"/>
      <c r="G1022" s="1"/>
      <c r="J1022" s="2"/>
      <c r="K1022" s="2"/>
      <c r="L1022" s="2"/>
    </row>
    <row r="1023" spans="2:12" ht="12.75">
      <c r="B1023" s="2" t="s">
        <v>98</v>
      </c>
      <c r="C1023" s="2"/>
      <c r="D1023" s="2"/>
      <c r="E1023" s="1"/>
      <c r="F1023" s="1"/>
      <c r="G1023" s="1"/>
      <c r="H1023" s="1"/>
      <c r="J1023" s="2"/>
      <c r="K1023" s="2"/>
      <c r="L1023" s="2"/>
    </row>
    <row r="1024" spans="2:12" ht="12.75">
      <c r="B1024" s="3"/>
      <c r="C1024" s="3"/>
      <c r="D1024" s="1"/>
      <c r="E1024" s="1"/>
      <c r="F1024" s="1"/>
      <c r="G1024" s="1"/>
      <c r="H1024" s="1"/>
      <c r="J1024" s="3"/>
      <c r="K1024" s="3"/>
      <c r="L1024" s="1"/>
    </row>
    <row r="1025" spans="2:12" ht="54" customHeight="1">
      <c r="B1025" s="5" t="s">
        <v>4</v>
      </c>
      <c r="C1025" s="31" t="s">
        <v>40</v>
      </c>
      <c r="D1025" s="6" t="s">
        <v>41</v>
      </c>
      <c r="E1025" s="1"/>
      <c r="F1025" s="1"/>
      <c r="G1025" s="1"/>
      <c r="H1025" s="1"/>
      <c r="J1025" s="29"/>
      <c r="K1025" s="35"/>
      <c r="L1025" s="27"/>
    </row>
    <row r="1026" spans="2:16" ht="12.75">
      <c r="B1026" s="6"/>
      <c r="C1026" s="6"/>
      <c r="D1026" s="7"/>
      <c r="E1026" s="1"/>
      <c r="F1026" s="1"/>
      <c r="G1026" s="1"/>
      <c r="H1026" s="1"/>
      <c r="J1026" s="27"/>
      <c r="K1026" s="27"/>
      <c r="L1026" s="34"/>
      <c r="M1026" s="50"/>
      <c r="N1026" s="49"/>
      <c r="O1026" s="49"/>
      <c r="P1026" s="49"/>
    </row>
    <row r="1027" spans="2:16" ht="12.75">
      <c r="B1027" s="10" t="s">
        <v>42</v>
      </c>
      <c r="C1027" s="8">
        <v>3130.2</v>
      </c>
      <c r="D1027" s="8"/>
      <c r="E1027" s="1"/>
      <c r="F1027" s="1"/>
      <c r="G1027" s="1"/>
      <c r="H1027" s="1"/>
      <c r="J1027" s="40"/>
      <c r="K1027" s="36"/>
      <c r="L1027" s="36"/>
      <c r="M1027" s="35"/>
      <c r="N1027" s="27"/>
      <c r="O1027" s="35"/>
      <c r="P1027" s="27"/>
    </row>
    <row r="1028" spans="2:16" ht="12.75">
      <c r="B1028" s="11" t="s">
        <v>13</v>
      </c>
      <c r="C1028" s="30">
        <v>64.2</v>
      </c>
      <c r="D1028" s="8">
        <f>C1028/3130.2/12*1000</f>
        <v>1.7091559644751138</v>
      </c>
      <c r="E1028" s="1"/>
      <c r="F1028" s="1"/>
      <c r="G1028" s="1"/>
      <c r="H1028" s="1"/>
      <c r="J1028" s="41"/>
      <c r="K1028" s="30"/>
      <c r="L1028" s="36"/>
      <c r="M1028" s="49"/>
      <c r="N1028" s="49"/>
      <c r="O1028" s="49"/>
      <c r="P1028" s="49"/>
    </row>
    <row r="1029" spans="2:16" ht="44.25" customHeight="1">
      <c r="B1029" s="15" t="s">
        <v>14</v>
      </c>
      <c r="C1029" s="9">
        <f>SUM(C1030:C1032)</f>
        <v>219.24</v>
      </c>
      <c r="D1029" s="9">
        <f>SUM(D1030:D1032)</f>
        <v>5.836687751581369</v>
      </c>
      <c r="E1029" s="1"/>
      <c r="F1029" s="1"/>
      <c r="G1029" s="1"/>
      <c r="H1029" s="1"/>
      <c r="J1029" s="42"/>
      <c r="K1029" s="2"/>
      <c r="L1029" s="2"/>
      <c r="M1029" s="50"/>
      <c r="N1029" s="50"/>
      <c r="O1029" s="50"/>
      <c r="P1029" s="50"/>
    </row>
    <row r="1030" spans="2:16" ht="12.75">
      <c r="B1030" s="6" t="s">
        <v>43</v>
      </c>
      <c r="C1030" s="8">
        <f>24.42+33.05</f>
        <v>57.47</v>
      </c>
      <c r="D1030" s="8">
        <f>C1030/3130.2/12*1000</f>
        <v>1.5299874342427535</v>
      </c>
      <c r="E1030" s="1"/>
      <c r="F1030" s="1"/>
      <c r="G1030" s="1"/>
      <c r="H1030" s="1"/>
      <c r="J1030" s="27"/>
      <c r="K1030" s="36"/>
      <c r="L1030" s="36"/>
      <c r="M1030" s="50"/>
      <c r="N1030" s="50"/>
      <c r="O1030" s="50"/>
      <c r="P1030" s="50"/>
    </row>
    <row r="1031" spans="2:16" ht="12.75">
      <c r="B1031" s="17" t="s">
        <v>44</v>
      </c>
      <c r="C1031" s="8">
        <v>27.65</v>
      </c>
      <c r="D1031" s="8">
        <f>C1031/3130.2/12*1000</f>
        <v>0.7361084488744064</v>
      </c>
      <c r="E1031" s="1"/>
      <c r="F1031" s="1"/>
      <c r="G1031" s="1"/>
      <c r="H1031" s="1"/>
      <c r="J1031" s="43"/>
      <c r="K1031" s="36"/>
      <c r="L1031" s="36"/>
      <c r="M1031" s="2"/>
      <c r="N1031" s="2"/>
      <c r="O1031" s="2"/>
      <c r="P1031" s="2"/>
    </row>
    <row r="1032" spans="2:16" ht="12.75">
      <c r="B1032" s="6" t="s">
        <v>16</v>
      </c>
      <c r="C1032" s="8">
        <v>134.12</v>
      </c>
      <c r="D1032" s="8">
        <f>C1032/3130.2/12*1000</f>
        <v>3.5705918684642097</v>
      </c>
      <c r="E1032" s="1"/>
      <c r="F1032" s="1"/>
      <c r="G1032" s="1"/>
      <c r="H1032" s="1"/>
      <c r="J1032" s="27"/>
      <c r="K1032" s="36"/>
      <c r="L1032" s="36"/>
      <c r="M1032" s="50"/>
      <c r="N1032" s="50"/>
      <c r="O1032" s="50"/>
      <c r="P1032" s="50"/>
    </row>
    <row r="1033" spans="2:16" ht="39.75" customHeight="1">
      <c r="B1033" s="10" t="s">
        <v>19</v>
      </c>
      <c r="C1033" s="22">
        <f>SUM(C1035:C1039)</f>
        <v>94.84</v>
      </c>
      <c r="D1033" s="22">
        <f>SUM(D1035:D1039)</f>
        <v>2.5248652908227376</v>
      </c>
      <c r="E1033" s="1"/>
      <c r="F1033" s="1"/>
      <c r="G1033" s="1"/>
      <c r="H1033" s="1"/>
      <c r="J1033" s="40"/>
      <c r="K1033" s="37"/>
      <c r="L1033" s="37"/>
      <c r="M1033" s="50"/>
      <c r="N1033" s="50"/>
      <c r="O1033" s="50"/>
      <c r="P1033" s="50"/>
    </row>
    <row r="1034" spans="2:16" ht="14.25" customHeight="1">
      <c r="B1034" s="10"/>
      <c r="C1034" s="22"/>
      <c r="D1034" s="22"/>
      <c r="E1034" s="1"/>
      <c r="F1034" s="1"/>
      <c r="G1034" s="1"/>
      <c r="H1034" s="1"/>
      <c r="J1034" s="27"/>
      <c r="K1034" s="37"/>
      <c r="L1034" s="37"/>
      <c r="M1034" s="50"/>
      <c r="N1034" s="50"/>
      <c r="O1034" s="50"/>
      <c r="P1034" s="50"/>
    </row>
    <row r="1035" spans="2:16" ht="27.75" customHeight="1">
      <c r="B1035" s="6" t="s">
        <v>45</v>
      </c>
      <c r="C1035" s="8">
        <f>64.22+12.97+6.5</f>
        <v>83.69</v>
      </c>
      <c r="D1035" s="8">
        <f>C1035/3130.2/12*1000</f>
        <v>2.228025898238664</v>
      </c>
      <c r="E1035" s="1"/>
      <c r="F1035" s="1"/>
      <c r="G1035" s="1"/>
      <c r="H1035" s="1"/>
      <c r="J1035" s="27"/>
      <c r="K1035" s="36"/>
      <c r="L1035" s="36"/>
      <c r="M1035" s="50"/>
      <c r="N1035" s="50"/>
      <c r="O1035" s="50"/>
      <c r="P1035" s="50"/>
    </row>
    <row r="1036" spans="2:16" ht="12.75">
      <c r="B1036" s="6" t="s">
        <v>46</v>
      </c>
      <c r="C1036" s="8"/>
      <c r="D1036" s="8">
        <f>C1036/3130.2/12*1000</f>
        <v>0</v>
      </c>
      <c r="E1036" s="1"/>
      <c r="F1036" s="1"/>
      <c r="G1036" s="1"/>
      <c r="H1036" s="1"/>
      <c r="J1036" s="27"/>
      <c r="K1036" s="36"/>
      <c r="L1036" s="36"/>
      <c r="M1036" s="37"/>
      <c r="N1036" s="37"/>
      <c r="O1036" s="37"/>
      <c r="P1036" s="37"/>
    </row>
    <row r="1037" spans="2:16" ht="12.75">
      <c r="B1037" s="20" t="s">
        <v>47</v>
      </c>
      <c r="C1037" s="8">
        <v>1.12</v>
      </c>
      <c r="D1037" s="8">
        <f>C1037/3130.2/12*1000</f>
        <v>0.029817051093646844</v>
      </c>
      <c r="E1037" s="1"/>
      <c r="F1037" s="1"/>
      <c r="G1037" s="1"/>
      <c r="H1037" s="1"/>
      <c r="J1037" s="44"/>
      <c r="K1037" s="36"/>
      <c r="L1037" s="36"/>
      <c r="M1037" s="50"/>
      <c r="N1037" s="50"/>
      <c r="O1037" s="50"/>
      <c r="P1037" s="50"/>
    </row>
    <row r="1038" spans="2:16" ht="12.75">
      <c r="B1038" s="8" t="s">
        <v>48</v>
      </c>
      <c r="C1038" s="8">
        <v>8.49</v>
      </c>
      <c r="D1038" s="8">
        <f>C1038/3130.2/12*1000</f>
        <v>0.22602389623666222</v>
      </c>
      <c r="E1038" s="1"/>
      <c r="F1038" s="1"/>
      <c r="G1038" s="1"/>
      <c r="H1038" s="1"/>
      <c r="J1038" s="36"/>
      <c r="K1038" s="36"/>
      <c r="L1038" s="36"/>
      <c r="M1038" s="50"/>
      <c r="N1038" s="50"/>
      <c r="O1038" s="50"/>
      <c r="P1038" s="50"/>
    </row>
    <row r="1039" spans="2:16" ht="12.75">
      <c r="B1039" s="8" t="s">
        <v>50</v>
      </c>
      <c r="C1039" s="8">
        <v>1.54</v>
      </c>
      <c r="D1039" s="8">
        <f>C1039/3130.2/12*1000</f>
        <v>0.04099844525376441</v>
      </c>
      <c r="E1039" s="1"/>
      <c r="F1039" s="1"/>
      <c r="G1039" s="1"/>
      <c r="H1039" s="1"/>
      <c r="J1039" s="43"/>
      <c r="K1039" s="36"/>
      <c r="L1039" s="36"/>
      <c r="M1039" s="50"/>
      <c r="N1039" s="50"/>
      <c r="O1039" s="50"/>
      <c r="P1039" s="50"/>
    </row>
    <row r="1040" spans="2:16" ht="12.75">
      <c r="B1040" s="14" t="s">
        <v>27</v>
      </c>
      <c r="C1040" s="14">
        <v>54</v>
      </c>
      <c r="D1040" s="14">
        <f>C1040/3130.2/12*1000</f>
        <v>1.4376078205865443</v>
      </c>
      <c r="E1040" s="1"/>
      <c r="F1040" s="1"/>
      <c r="G1040" s="1"/>
      <c r="H1040" s="1"/>
      <c r="J1040" s="38"/>
      <c r="K1040" s="38"/>
      <c r="L1040" s="38"/>
      <c r="M1040" s="50"/>
      <c r="N1040" s="50"/>
      <c r="O1040" s="50"/>
      <c r="P1040" s="50"/>
    </row>
    <row r="1041" spans="2:16" ht="12.75">
      <c r="B1041" s="14"/>
      <c r="C1041" s="14"/>
      <c r="D1041" s="8"/>
      <c r="E1041" s="1"/>
      <c r="F1041" s="1"/>
      <c r="G1041" s="1"/>
      <c r="H1041" s="1"/>
      <c r="J1041" s="38"/>
      <c r="K1041" s="38"/>
      <c r="L1041" s="36"/>
      <c r="M1041" s="50"/>
      <c r="N1041" s="50"/>
      <c r="O1041" s="50"/>
      <c r="P1041" s="50"/>
    </row>
    <row r="1042" spans="2:16" ht="12.75">
      <c r="B1042" s="14" t="s">
        <v>29</v>
      </c>
      <c r="C1042" s="14">
        <f>C1028+C1029+C1033+C1040+C1041</f>
        <v>432.28</v>
      </c>
      <c r="D1042" s="14">
        <f>D1028+D1029+D1033+D1040+D1041</f>
        <v>11.508316827465764</v>
      </c>
      <c r="E1042" s="1"/>
      <c r="F1042" s="1"/>
      <c r="G1042" s="1"/>
      <c r="H1042" s="1"/>
      <c r="J1042" s="38"/>
      <c r="K1042" s="38"/>
      <c r="L1042" s="38"/>
      <c r="M1042" s="51"/>
      <c r="N1042" s="51"/>
      <c r="O1042" s="51"/>
      <c r="P1042" s="51"/>
    </row>
    <row r="1043" spans="2:16" ht="12.75">
      <c r="B1043" s="8" t="s">
        <v>51</v>
      </c>
      <c r="C1043" s="8">
        <v>43.23</v>
      </c>
      <c r="D1043" s="8">
        <f>C1043/3130.2/12*1000</f>
        <v>1.150884927480672</v>
      </c>
      <c r="E1043" s="1"/>
      <c r="F1043" s="1"/>
      <c r="G1043" s="1"/>
      <c r="H1043" s="1"/>
      <c r="J1043" s="36"/>
      <c r="K1043" s="36"/>
      <c r="L1043" s="36"/>
      <c r="M1043" s="50"/>
      <c r="N1043" s="50"/>
      <c r="O1043" s="50"/>
      <c r="P1043" s="50"/>
    </row>
    <row r="1044" spans="2:16" ht="12.75">
      <c r="B1044" s="14" t="s">
        <v>31</v>
      </c>
      <c r="C1044" s="23">
        <f>C1042+C1043</f>
        <v>475.51</v>
      </c>
      <c r="D1044" s="23">
        <f>D1042+D1043</f>
        <v>12.659201754946436</v>
      </c>
      <c r="E1044" s="1"/>
      <c r="F1044" s="1"/>
      <c r="G1044" s="1"/>
      <c r="H1044" s="1"/>
      <c r="J1044" s="38"/>
      <c r="K1044" s="45"/>
      <c r="L1044" s="45"/>
      <c r="M1044" s="38"/>
      <c r="N1044" s="38"/>
      <c r="O1044" s="38"/>
      <c r="P1044" s="38"/>
    </row>
    <row r="1045" spans="2:16" ht="40.5" customHeight="1">
      <c r="B1045" s="6" t="s">
        <v>34</v>
      </c>
      <c r="C1045" s="23">
        <f>C1044/C1027/12*1000</f>
        <v>12.659201754946436</v>
      </c>
      <c r="D1045" s="8"/>
      <c r="E1045" s="1"/>
      <c r="F1045" s="1"/>
      <c r="G1045" s="1"/>
      <c r="H1045" s="1"/>
      <c r="J1045" s="27"/>
      <c r="K1045" s="45"/>
      <c r="L1045" s="36"/>
      <c r="M1045" s="50"/>
      <c r="N1045" s="50"/>
      <c r="O1045" s="50"/>
      <c r="P1045" s="50"/>
    </row>
    <row r="1046" spans="2:16" ht="12.75">
      <c r="B1046" s="1"/>
      <c r="C1046" s="1"/>
      <c r="D1046" s="1"/>
      <c r="E1046" s="1"/>
      <c r="F1046" s="1"/>
      <c r="G1046" s="1"/>
      <c r="H1046" s="1"/>
      <c r="J1046" s="1"/>
      <c r="K1046" s="1"/>
      <c r="L1046" s="1"/>
      <c r="M1046" s="51"/>
      <c r="N1046" s="51"/>
      <c r="O1046" s="51"/>
      <c r="P1046" s="51"/>
    </row>
    <row r="1047" spans="2:16" ht="12.75">
      <c r="B1047" s="1" t="s">
        <v>52</v>
      </c>
      <c r="C1047" s="1"/>
      <c r="D1047" s="1"/>
      <c r="E1047" s="1"/>
      <c r="F1047" s="1"/>
      <c r="G1047" s="1"/>
      <c r="H1047" s="1"/>
      <c r="J1047" s="1"/>
      <c r="K1047" s="1"/>
      <c r="L1047" s="1"/>
      <c r="M1047" s="50"/>
      <c r="N1047" s="50"/>
      <c r="O1047" s="50"/>
      <c r="P1047" s="50"/>
    </row>
    <row r="1048" spans="2:16" ht="12.75">
      <c r="B1048" s="1"/>
      <c r="C1048" s="1"/>
      <c r="D1048" s="1"/>
      <c r="E1048" s="1"/>
      <c r="F1048" s="1"/>
      <c r="G1048" s="1"/>
      <c r="H1048" s="1"/>
      <c r="J1048" s="27"/>
      <c r="K1048" s="45"/>
      <c r="L1048" s="36"/>
      <c r="M1048" s="50"/>
      <c r="N1048" s="50"/>
      <c r="O1048" s="50"/>
      <c r="P1048" s="50"/>
    </row>
    <row r="1049" spans="2:16" ht="12.75" customHeight="1">
      <c r="B1049" s="1"/>
      <c r="C1049" s="1"/>
      <c r="D1049" s="1"/>
      <c r="E1049" s="1"/>
      <c r="F1049" s="1"/>
      <c r="G1049" s="1"/>
      <c r="H1049" s="1"/>
      <c r="J1049" s="27"/>
      <c r="K1049" s="27"/>
      <c r="L1049" s="27"/>
      <c r="M1049" s="27"/>
      <c r="N1049" s="27"/>
      <c r="O1049" s="27"/>
      <c r="P1049" s="50"/>
    </row>
    <row r="1050" spans="2:12" ht="12.75">
      <c r="B1050" s="1"/>
      <c r="C1050" s="1"/>
      <c r="D1050" s="1"/>
      <c r="E1050" s="1"/>
      <c r="F1050" s="1"/>
      <c r="G1050" s="1"/>
      <c r="H1050" s="1"/>
      <c r="J1050" s="1"/>
      <c r="K1050" s="1"/>
      <c r="L1050" s="1"/>
    </row>
    <row r="1051" spans="2:12" ht="12.75">
      <c r="B1051" s="2" t="s">
        <v>0</v>
      </c>
      <c r="C1051" s="2"/>
      <c r="D1051" s="2"/>
      <c r="E1051" s="1"/>
      <c r="F1051" s="1"/>
      <c r="G1051" s="1"/>
      <c r="H1051" s="1"/>
      <c r="J1051" s="1"/>
      <c r="K1051" s="1"/>
      <c r="L1051" s="1"/>
    </row>
    <row r="1052" spans="2:12" ht="12.75">
      <c r="B1052" s="2" t="s">
        <v>65</v>
      </c>
      <c r="C1052" s="2"/>
      <c r="D1052" s="2"/>
      <c r="E1052" s="1"/>
      <c r="F1052" s="1"/>
      <c r="G1052" s="1"/>
      <c r="H1052" s="1"/>
      <c r="J1052" s="1"/>
      <c r="K1052" s="1"/>
      <c r="L1052" s="1"/>
    </row>
    <row r="1053" spans="2:8" ht="12.75">
      <c r="B1053" s="2" t="s">
        <v>99</v>
      </c>
      <c r="C1053" s="2"/>
      <c r="D1053" s="2"/>
      <c r="E1053" s="1"/>
      <c r="F1053" s="1"/>
      <c r="G1053" s="1"/>
      <c r="H1053" s="1"/>
    </row>
    <row r="1054" spans="2:8" ht="12.75">
      <c r="B1054" s="3"/>
      <c r="C1054" s="3"/>
      <c r="D1054" s="1"/>
      <c r="E1054" s="1"/>
      <c r="F1054" s="1"/>
      <c r="G1054" s="1"/>
      <c r="H1054" s="1"/>
    </row>
    <row r="1055" spans="2:8" ht="12.75">
      <c r="B1055" s="5" t="s">
        <v>4</v>
      </c>
      <c r="C1055" s="31" t="s">
        <v>40</v>
      </c>
      <c r="D1055" s="6" t="s">
        <v>41</v>
      </c>
      <c r="E1055" s="1"/>
      <c r="F1055" s="1"/>
      <c r="G1055" s="1"/>
      <c r="H1055" s="1"/>
    </row>
    <row r="1056" spans="2:8" ht="12.75">
      <c r="B1056" s="6"/>
      <c r="C1056" s="6"/>
      <c r="D1056" s="7"/>
      <c r="E1056" s="1"/>
      <c r="F1056" s="1"/>
      <c r="G1056" s="1"/>
      <c r="H1056" s="1"/>
    </row>
    <row r="1057" spans="2:8" ht="12.75">
      <c r="B1057" s="10" t="s">
        <v>42</v>
      </c>
      <c r="C1057" s="8">
        <v>1282.2</v>
      </c>
      <c r="D1057" s="8"/>
      <c r="E1057" s="1"/>
      <c r="F1057" s="1"/>
      <c r="G1057" s="1"/>
      <c r="H1057" s="1"/>
    </row>
    <row r="1058" spans="2:8" ht="12.75">
      <c r="B1058" s="11" t="s">
        <v>13</v>
      </c>
      <c r="C1058" s="30">
        <v>26.3</v>
      </c>
      <c r="D1058" s="8">
        <f>C1058/1282.2/12*1000</f>
        <v>1.709301721000364</v>
      </c>
      <c r="E1058" s="1"/>
      <c r="F1058" s="1"/>
      <c r="G1058" s="1"/>
      <c r="H1058" s="1"/>
    </row>
    <row r="1059" spans="2:8" ht="12.75">
      <c r="B1059" s="15" t="s">
        <v>14</v>
      </c>
      <c r="C1059" s="9">
        <f>SUM(C1060:C1062)</f>
        <v>84.91999999999999</v>
      </c>
      <c r="D1059" s="9">
        <f>SUM(D1060:D1062)</f>
        <v>5.519159777465813</v>
      </c>
      <c r="E1059" s="1"/>
      <c r="F1059" s="1"/>
      <c r="G1059" s="1"/>
      <c r="H1059" s="1"/>
    </row>
    <row r="1060" spans="2:8" ht="12.75">
      <c r="B1060" s="6" t="s">
        <v>43</v>
      </c>
      <c r="C1060" s="8">
        <f>10+13.54</f>
        <v>23.54</v>
      </c>
      <c r="D1060" s="8">
        <f>C1060/1282.2/12*1000</f>
        <v>1.5299225289866372</v>
      </c>
      <c r="E1060" s="1"/>
      <c r="F1060" s="1"/>
      <c r="G1060" s="1"/>
      <c r="H1060" s="1"/>
    </row>
    <row r="1061" spans="2:8" ht="12.75">
      <c r="B1061" s="17" t="s">
        <v>44</v>
      </c>
      <c r="C1061" s="8">
        <v>11.33</v>
      </c>
      <c r="D1061" s="8">
        <f>C1061/1282.2/12*1000</f>
        <v>0.7363645817085218</v>
      </c>
      <c r="E1061" s="1"/>
      <c r="F1061" s="1"/>
      <c r="G1061" s="1"/>
      <c r="H1061" s="1"/>
    </row>
    <row r="1062" spans="2:8" ht="12.75">
      <c r="B1062" s="6" t="s">
        <v>16</v>
      </c>
      <c r="C1062" s="8">
        <v>50.05</v>
      </c>
      <c r="D1062" s="8">
        <f>C1062/1282.2/12*1000</f>
        <v>3.2528726667706542</v>
      </c>
      <c r="E1062" s="1"/>
      <c r="F1062" s="1"/>
      <c r="G1062" s="1"/>
      <c r="H1062" s="1"/>
    </row>
    <row r="1063" spans="2:8" ht="12.75">
      <c r="B1063" s="10" t="s">
        <v>19</v>
      </c>
      <c r="C1063" s="22">
        <f>SUM(C1064:C1069)</f>
        <v>43.73</v>
      </c>
      <c r="D1063" s="22">
        <f>SUM(D1064:D1069)</f>
        <v>2.8421203140435702</v>
      </c>
      <c r="E1063" s="1"/>
      <c r="F1063" s="1"/>
      <c r="G1063" s="1"/>
      <c r="H1063" s="1"/>
    </row>
    <row r="1064" spans="2:8" ht="12.75">
      <c r="B1064" s="6" t="s">
        <v>45</v>
      </c>
      <c r="C1064" s="8">
        <f>29.97+6.05+3.03</f>
        <v>39.05</v>
      </c>
      <c r="D1064" s="8">
        <f>C1064/1282.2/12*1000</f>
        <v>2.53795559715073</v>
      </c>
      <c r="E1064" s="1"/>
      <c r="F1064" s="1"/>
      <c r="G1064" s="1"/>
      <c r="H1064" s="1"/>
    </row>
    <row r="1065" spans="2:8" ht="12.75">
      <c r="B1065" s="6" t="s">
        <v>46</v>
      </c>
      <c r="C1065" s="8"/>
      <c r="D1065" s="8">
        <f>C1065/1282.2/12*1000</f>
        <v>0</v>
      </c>
      <c r="E1065" s="1"/>
      <c r="F1065" s="1"/>
      <c r="G1065" s="1"/>
      <c r="H1065" s="1"/>
    </row>
    <row r="1066" spans="2:8" ht="12.75">
      <c r="B1066" s="20" t="s">
        <v>47</v>
      </c>
      <c r="C1066" s="8">
        <v>0.11</v>
      </c>
      <c r="D1066" s="8">
        <f>C1066/1282.2/12*1000</f>
        <v>0.0071491706961992404</v>
      </c>
      <c r="E1066" s="1"/>
      <c r="F1066" s="1"/>
      <c r="G1066" s="1"/>
      <c r="H1066" s="1"/>
    </row>
    <row r="1067" spans="2:8" ht="12.75">
      <c r="B1067" s="8" t="s">
        <v>48</v>
      </c>
      <c r="C1067" s="8">
        <v>3.98</v>
      </c>
      <c r="D1067" s="8">
        <f>C1067/1282.2/12*1000</f>
        <v>0.25866999428066345</v>
      </c>
      <c r="E1067" s="1"/>
      <c r="F1067" s="1"/>
      <c r="G1067" s="1"/>
      <c r="H1067" s="1"/>
    </row>
    <row r="1068" spans="2:8" ht="12.75">
      <c r="B1068" s="8" t="s">
        <v>49</v>
      </c>
      <c r="C1068" s="8"/>
      <c r="D1068" s="8">
        <f>C1068/1282.2/12*1000</f>
        <v>0</v>
      </c>
      <c r="E1068" s="1"/>
      <c r="F1068" s="1"/>
      <c r="G1068" s="1"/>
      <c r="H1068" s="1"/>
    </row>
    <row r="1069" spans="2:8" ht="12.75">
      <c r="B1069" s="8" t="s">
        <v>50</v>
      </c>
      <c r="C1069" s="8">
        <v>0.59</v>
      </c>
      <c r="D1069" s="8">
        <f>C1069/1282.2/12*1000</f>
        <v>0.038345551915977744</v>
      </c>
      <c r="E1069" s="1"/>
      <c r="F1069" s="1"/>
      <c r="G1069" s="1"/>
      <c r="H1069" s="1"/>
    </row>
    <row r="1070" spans="2:8" ht="12.75">
      <c r="B1070" s="14" t="s">
        <v>27</v>
      </c>
      <c r="C1070" s="14">
        <f>19.13+2.99</f>
        <v>22.119999999999997</v>
      </c>
      <c r="D1070" s="14">
        <f>C1070/1282.2/12*1000</f>
        <v>1.4376332345447924</v>
      </c>
      <c r="E1070" s="1"/>
      <c r="F1070" s="1"/>
      <c r="G1070" s="1"/>
      <c r="H1070" s="1"/>
    </row>
    <row r="1071" spans="2:8" ht="12.75">
      <c r="B1071" s="14"/>
      <c r="C1071" s="14"/>
      <c r="D1071" s="8"/>
      <c r="E1071" s="1"/>
      <c r="F1071" s="1"/>
      <c r="G1071" s="1"/>
      <c r="H1071" s="1"/>
    </row>
    <row r="1072" spans="2:8" ht="12.75">
      <c r="B1072" s="14" t="s">
        <v>29</v>
      </c>
      <c r="C1072" s="14">
        <f>C1058+C1059+C1063+C1070+C1071</f>
        <v>177.07</v>
      </c>
      <c r="D1072" s="14">
        <f>D1058+D1059+D1063+D1070+D1071</f>
        <v>11.50821504705454</v>
      </c>
      <c r="E1072" s="1"/>
      <c r="F1072" s="1"/>
      <c r="G1072" s="1"/>
      <c r="H1072" s="1"/>
    </row>
    <row r="1073" spans="2:8" ht="12.75">
      <c r="B1073" s="8" t="s">
        <v>51</v>
      </c>
      <c r="C1073" s="8">
        <v>17.71</v>
      </c>
      <c r="D1073" s="8">
        <f>C1073/1282.2/12*1000</f>
        <v>1.151016482088078</v>
      </c>
      <c r="E1073" s="1"/>
      <c r="F1073" s="1"/>
      <c r="G1073" s="1"/>
      <c r="H1073" s="1"/>
    </row>
    <row r="1074" spans="2:8" ht="12.75">
      <c r="B1074" s="14" t="s">
        <v>31</v>
      </c>
      <c r="C1074" s="23">
        <f>C1072+C1073</f>
        <v>194.78</v>
      </c>
      <c r="D1074" s="23">
        <f>D1072+D1073</f>
        <v>12.659231529142618</v>
      </c>
      <c r="E1074" s="1"/>
      <c r="F1074" s="1"/>
      <c r="G1074" s="1"/>
      <c r="H1074" s="1"/>
    </row>
    <row r="1075" spans="2:8" ht="12.75">
      <c r="B1075" s="6" t="s">
        <v>34</v>
      </c>
      <c r="C1075" s="23">
        <f>C1074/C1057/12*1000</f>
        <v>12.659231529142618</v>
      </c>
      <c r="D1075" s="8"/>
      <c r="E1075" s="1"/>
      <c r="F1075" s="1"/>
      <c r="G1075" s="1"/>
      <c r="H1075" s="1"/>
    </row>
    <row r="1076" spans="2:8" ht="12.75">
      <c r="B1076" s="1"/>
      <c r="C1076" s="1"/>
      <c r="D1076" s="1"/>
      <c r="E1076" s="1"/>
      <c r="F1076" s="1"/>
      <c r="G1076" s="1"/>
      <c r="H1076" s="1"/>
    </row>
    <row r="1077" spans="2:8" ht="12.75">
      <c r="B1077" s="1" t="s">
        <v>52</v>
      </c>
      <c r="C1077" s="1"/>
      <c r="D1077" s="1"/>
      <c r="E1077" s="1"/>
      <c r="F1077" s="1"/>
      <c r="G1077" s="1"/>
      <c r="H1077" s="1"/>
    </row>
    <row r="1078" spans="2:8" ht="12.75">
      <c r="B1078" s="1"/>
      <c r="C1078" s="1"/>
      <c r="D1078" s="1"/>
      <c r="E1078" s="1"/>
      <c r="F1078" s="1"/>
      <c r="G1078" s="1"/>
      <c r="H1078" s="1"/>
    </row>
    <row r="1079" spans="1:8" ht="12.75">
      <c r="A1079" s="52"/>
      <c r="B1079" s="2" t="s">
        <v>0</v>
      </c>
      <c r="C1079" s="2"/>
      <c r="D1079" s="2"/>
      <c r="E1079" s="1"/>
      <c r="F1079" s="1"/>
      <c r="G1079" s="1"/>
      <c r="H1079" s="1"/>
    </row>
    <row r="1080" spans="1:8" ht="12.75">
      <c r="A1080" s="52"/>
      <c r="B1080" s="2" t="s">
        <v>65</v>
      </c>
      <c r="C1080" s="2"/>
      <c r="D1080" s="2"/>
      <c r="E1080" s="1"/>
      <c r="F1080" s="1"/>
      <c r="G1080" s="1"/>
      <c r="H1080" s="1"/>
    </row>
    <row r="1081" spans="1:8" ht="12.75">
      <c r="A1081" s="52"/>
      <c r="B1081" s="2" t="s">
        <v>100</v>
      </c>
      <c r="C1081" s="2"/>
      <c r="D1081" s="2"/>
      <c r="E1081" s="1"/>
      <c r="F1081" s="1"/>
      <c r="G1081" s="1"/>
      <c r="H1081" s="1"/>
    </row>
    <row r="1082" spans="1:8" ht="12.75">
      <c r="A1082" s="52"/>
      <c r="B1082" s="53"/>
      <c r="C1082" s="53"/>
      <c r="D1082" s="54"/>
      <c r="E1082" s="1"/>
      <c r="F1082" s="1"/>
      <c r="G1082" s="1"/>
      <c r="H1082" s="1"/>
    </row>
    <row r="1083" spans="1:8" ht="12.75">
      <c r="A1083" s="52"/>
      <c r="B1083" s="5" t="s">
        <v>4</v>
      </c>
      <c r="C1083" s="31" t="s">
        <v>40</v>
      </c>
      <c r="D1083" s="6" t="s">
        <v>41</v>
      </c>
      <c r="E1083" s="1"/>
      <c r="F1083" s="1"/>
      <c r="G1083" s="1"/>
      <c r="H1083" s="1"/>
    </row>
    <row r="1084" spans="1:8" ht="12.75">
      <c r="A1084" s="52"/>
      <c r="B1084" s="6"/>
      <c r="C1084" s="6"/>
      <c r="D1084" s="7"/>
      <c r="E1084" s="1"/>
      <c r="F1084" s="1"/>
      <c r="G1084" s="1"/>
      <c r="H1084" s="1"/>
    </row>
    <row r="1085" spans="1:8" ht="12.75">
      <c r="A1085" s="52"/>
      <c r="B1085" s="10" t="s">
        <v>42</v>
      </c>
      <c r="C1085" s="8">
        <v>8370.4</v>
      </c>
      <c r="D1085" s="8"/>
      <c r="E1085" s="1"/>
      <c r="F1085" s="1"/>
      <c r="G1085" s="1"/>
      <c r="H1085" s="1"/>
    </row>
    <row r="1086" spans="1:8" ht="12.75">
      <c r="A1086" s="52"/>
      <c r="B1086" s="11" t="s">
        <v>13</v>
      </c>
      <c r="C1086" s="32">
        <v>171.67</v>
      </c>
      <c r="D1086" s="14">
        <f>C1086/8370.4/12*1000</f>
        <v>1.7090979323966995</v>
      </c>
      <c r="E1086" s="1"/>
      <c r="F1086" s="1"/>
      <c r="G1086" s="1"/>
      <c r="H1086" s="1"/>
    </row>
    <row r="1087" spans="1:8" ht="12.75">
      <c r="A1087" s="52"/>
      <c r="B1087" s="15" t="s">
        <v>14</v>
      </c>
      <c r="C1087" s="9">
        <f>SUM(C1089:C1091)</f>
        <v>513.12</v>
      </c>
      <c r="D1087" s="9">
        <f>SUM(D1089:D1091)</f>
        <v>5.108477492115073</v>
      </c>
      <c r="E1087" s="1"/>
      <c r="F1087" s="1"/>
      <c r="G1087" s="1"/>
      <c r="H1087" s="1"/>
    </row>
    <row r="1088" spans="1:8" ht="12.75">
      <c r="A1088" s="52"/>
      <c r="B1088" s="16" t="s">
        <v>101</v>
      </c>
      <c r="C1088" s="9"/>
      <c r="D1088" s="9"/>
      <c r="E1088" s="1"/>
      <c r="F1088" s="1"/>
      <c r="G1088" s="1"/>
      <c r="H1088" s="1"/>
    </row>
    <row r="1089" spans="1:8" ht="12.75">
      <c r="A1089" s="52"/>
      <c r="B1089" s="6" t="s">
        <v>102</v>
      </c>
      <c r="C1089" s="8">
        <f>65.29+88.38</f>
        <v>153.67000000000002</v>
      </c>
      <c r="D1089" s="8">
        <f>C1089/8370.4/12*1000</f>
        <v>1.5298950269202591</v>
      </c>
      <c r="E1089" s="1"/>
      <c r="F1089" s="1"/>
      <c r="G1089" s="1"/>
      <c r="H1089" s="1"/>
    </row>
    <row r="1090" spans="1:8" ht="12.75">
      <c r="A1090" s="52"/>
      <c r="B1090" s="17" t="s">
        <v>44</v>
      </c>
      <c r="C1090" s="8">
        <v>73.94</v>
      </c>
      <c r="D1090" s="8">
        <f>C1090/8370.4/12*1000</f>
        <v>0.7361257128293351</v>
      </c>
      <c r="E1090" s="1"/>
      <c r="F1090" s="1"/>
      <c r="G1090" s="1"/>
      <c r="H1090" s="1"/>
    </row>
    <row r="1091" spans="1:8" ht="12.75">
      <c r="A1091" s="52"/>
      <c r="B1091" s="6" t="s">
        <v>16</v>
      </c>
      <c r="C1091" s="8">
        <v>285.51</v>
      </c>
      <c r="D1091" s="8">
        <f>C1091/8370.4/12*1000</f>
        <v>2.8424567523654787</v>
      </c>
      <c r="E1091" s="1"/>
      <c r="F1091" s="1"/>
      <c r="G1091" s="1"/>
      <c r="H1091" s="1"/>
    </row>
    <row r="1092" spans="1:8" ht="12.75">
      <c r="A1092" s="52"/>
      <c r="B1092" s="10" t="s">
        <v>103</v>
      </c>
      <c r="C1092" s="22">
        <f>SUM(C1094:C1099)</f>
        <v>326.8299999999999</v>
      </c>
      <c r="D1092" s="22">
        <f>SUM(D1094:D1099)</f>
        <v>3.2538269776036186</v>
      </c>
      <c r="E1092" s="1"/>
      <c r="F1092" s="1"/>
      <c r="G1092" s="1"/>
      <c r="H1092" s="1"/>
    </row>
    <row r="1093" spans="1:8" ht="12.75">
      <c r="A1093" s="52"/>
      <c r="B1093" s="20" t="s">
        <v>101</v>
      </c>
      <c r="C1093" s="22"/>
      <c r="D1093" s="22"/>
      <c r="E1093" s="1"/>
      <c r="F1093" s="1"/>
      <c r="G1093" s="1"/>
      <c r="H1093" s="1"/>
    </row>
    <row r="1094" spans="1:8" ht="12.75">
      <c r="A1094" s="52"/>
      <c r="B1094" s="6" t="s">
        <v>104</v>
      </c>
      <c r="C1094" s="8">
        <f>228.18+46.09+23.09</f>
        <v>297.35999999999996</v>
      </c>
      <c r="D1094" s="8">
        <f>C1094/8370.4/12*1000</f>
        <v>2.9604319984708014</v>
      </c>
      <c r="E1094" s="1"/>
      <c r="F1094" s="1"/>
      <c r="G1094" s="1"/>
      <c r="H1094" s="1"/>
    </row>
    <row r="1095" spans="1:8" ht="12.75">
      <c r="A1095" s="52"/>
      <c r="B1095" s="6" t="s">
        <v>105</v>
      </c>
      <c r="C1095" s="8">
        <v>0</v>
      </c>
      <c r="D1095" s="8">
        <f>C1095/8370.4/12*1000</f>
        <v>0</v>
      </c>
      <c r="E1095" s="1"/>
      <c r="F1095" s="1"/>
      <c r="G1095" s="1"/>
      <c r="H1095" s="1"/>
    </row>
    <row r="1096" spans="1:8" ht="12.75">
      <c r="A1096" s="52"/>
      <c r="B1096" s="20" t="s">
        <v>106</v>
      </c>
      <c r="C1096" s="8">
        <v>6.05</v>
      </c>
      <c r="D1096" s="8">
        <f>C1096/8370.4/12*1000</f>
        <v>0.060232087674025936</v>
      </c>
      <c r="E1096" s="1"/>
      <c r="F1096" s="1"/>
      <c r="G1096" s="1"/>
      <c r="H1096" s="1"/>
    </row>
    <row r="1097" spans="1:8" ht="12.75">
      <c r="A1097" s="52"/>
      <c r="B1097" s="8" t="s">
        <v>107</v>
      </c>
      <c r="C1097" s="8">
        <v>18.31</v>
      </c>
      <c r="D1097" s="8">
        <f>C1097/8370.4/12*1000</f>
        <v>0.18228917773742392</v>
      </c>
      <c r="E1097" s="1"/>
      <c r="F1097" s="1"/>
      <c r="G1097" s="1"/>
      <c r="H1097" s="1"/>
    </row>
    <row r="1098" spans="1:8" ht="12.75">
      <c r="A1098" s="52"/>
      <c r="B1098" s="8" t="s">
        <v>108</v>
      </c>
      <c r="C1098" s="8"/>
      <c r="D1098" s="8">
        <f>C1098/8370.4/12*1000</f>
        <v>0</v>
      </c>
      <c r="E1098" s="1"/>
      <c r="F1098" s="1"/>
      <c r="G1098" s="1"/>
      <c r="H1098" s="1"/>
    </row>
    <row r="1099" spans="1:8" ht="12.75">
      <c r="A1099" s="52"/>
      <c r="B1099" s="6" t="s">
        <v>109</v>
      </c>
      <c r="C1099" s="8">
        <v>5.11</v>
      </c>
      <c r="D1099" s="8">
        <f>C1099/8370.4/12*1000</f>
        <v>0.050873713721367356</v>
      </c>
      <c r="E1099" s="1"/>
      <c r="F1099" s="1"/>
      <c r="G1099" s="1"/>
      <c r="H1099" s="1"/>
    </row>
    <row r="1100" spans="1:8" ht="12.75">
      <c r="A1100" s="52"/>
      <c r="B1100" s="55" t="s">
        <v>27</v>
      </c>
      <c r="C1100" s="14">
        <f>124.88+19.52</f>
        <v>144.4</v>
      </c>
      <c r="D1100" s="14">
        <f>C1100/8370.4/12*1000</f>
        <v>1.437605530599892</v>
      </c>
      <c r="E1100" s="1"/>
      <c r="F1100" s="1"/>
      <c r="G1100" s="1"/>
      <c r="H1100" s="1"/>
    </row>
    <row r="1101" spans="1:8" ht="12.75">
      <c r="A1101" s="52"/>
      <c r="B1101" s="14"/>
      <c r="C1101" s="14"/>
      <c r="D1101" s="8"/>
      <c r="E1101" s="1"/>
      <c r="F1101" s="1"/>
      <c r="G1101" s="1"/>
      <c r="H1101" s="1"/>
    </row>
    <row r="1102" spans="1:8" ht="12.75">
      <c r="A1102" s="52"/>
      <c r="B1102" s="14" t="s">
        <v>29</v>
      </c>
      <c r="C1102" s="14">
        <f>C1086+C1087+C1092+C1100+C1101</f>
        <v>1156.02</v>
      </c>
      <c r="D1102" s="14">
        <f>D1086+D1087+D1092+D1100+D1101</f>
        <v>11.509007932715283</v>
      </c>
      <c r="E1102" s="1"/>
      <c r="F1102" s="1"/>
      <c r="G1102" s="1"/>
      <c r="H1102" s="1"/>
    </row>
    <row r="1103" spans="1:8" ht="12.75">
      <c r="A1103" s="52"/>
      <c r="B1103" s="8" t="s">
        <v>51</v>
      </c>
      <c r="C1103" s="8">
        <v>115.6</v>
      </c>
      <c r="D1103" s="8">
        <f>C1103/8370.4/12*1000</f>
        <v>1.1508808818375864</v>
      </c>
      <c r="E1103" s="1"/>
      <c r="F1103" s="1"/>
      <c r="G1103" s="1"/>
      <c r="H1103" s="1"/>
    </row>
    <row r="1104" spans="1:8" ht="12.75">
      <c r="A1104" s="52"/>
      <c r="B1104" s="14" t="s">
        <v>31</v>
      </c>
      <c r="C1104" s="23">
        <f>C1102+C1103</f>
        <v>1271.62</v>
      </c>
      <c r="D1104" s="23">
        <f>D1102+D1103</f>
        <v>12.65988881455287</v>
      </c>
      <c r="E1104" s="1"/>
      <c r="F1104" s="1"/>
      <c r="G1104" s="1"/>
      <c r="H1104" s="1"/>
    </row>
    <row r="1105" spans="1:8" ht="12.75">
      <c r="A1105" s="52"/>
      <c r="B1105" s="6" t="s">
        <v>34</v>
      </c>
      <c r="C1105" s="23">
        <f>C1104/C1085/12*1000</f>
        <v>12.659888814552868</v>
      </c>
      <c r="D1105" s="8"/>
      <c r="E1105" s="1"/>
      <c r="F1105" s="1"/>
      <c r="G1105" s="1"/>
      <c r="H1105" s="1"/>
    </row>
    <row r="1106" spans="1:8" ht="12.75">
      <c r="A1106" s="52"/>
      <c r="B1106" s="1"/>
      <c r="C1106" s="1"/>
      <c r="D1106" s="1"/>
      <c r="E1106" s="1"/>
      <c r="F1106" s="1"/>
      <c r="G1106" s="1"/>
      <c r="H1106" s="1"/>
    </row>
    <row r="1107" spans="1:8" ht="12.75">
      <c r="A1107" s="52"/>
      <c r="B1107" s="1" t="s">
        <v>52</v>
      </c>
      <c r="C1107" s="1"/>
      <c r="D1107" s="1"/>
      <c r="E1107" s="1"/>
      <c r="F1107" s="1"/>
      <c r="G1107" s="1"/>
      <c r="H1107" s="1"/>
    </row>
    <row r="1108" spans="2:8" ht="12.75">
      <c r="B1108" s="1"/>
      <c r="C1108" s="1"/>
      <c r="D1108" s="1"/>
      <c r="E1108" s="1"/>
      <c r="F1108" s="1"/>
      <c r="G1108" s="1"/>
      <c r="H1108" s="1"/>
    </row>
    <row r="1109" spans="2:8" ht="12.75">
      <c r="B1109" s="2" t="s">
        <v>0</v>
      </c>
      <c r="C1109" s="2"/>
      <c r="D1109" s="2"/>
      <c r="E1109" s="1"/>
      <c r="F1109" s="1"/>
      <c r="G1109" s="1"/>
      <c r="H1109" s="1"/>
    </row>
    <row r="1110" spans="2:8" ht="12.75">
      <c r="B1110" s="2" t="s">
        <v>65</v>
      </c>
      <c r="C1110" s="2"/>
      <c r="D1110" s="2"/>
      <c r="E1110" s="1"/>
      <c r="F1110" s="1"/>
      <c r="G1110" s="1"/>
      <c r="H1110" s="1"/>
    </row>
    <row r="1111" spans="2:8" ht="12.75">
      <c r="B1111" s="2" t="s">
        <v>110</v>
      </c>
      <c r="C1111" s="2"/>
      <c r="D1111" s="2"/>
      <c r="E1111" s="1"/>
      <c r="F1111" s="1"/>
      <c r="G1111" s="1"/>
      <c r="H1111" s="1"/>
    </row>
    <row r="1112" spans="2:8" ht="12.75">
      <c r="B1112" s="3"/>
      <c r="C1112" s="3"/>
      <c r="D1112" s="1"/>
      <c r="E1112" s="1"/>
      <c r="F1112" s="1"/>
      <c r="G1112" s="1"/>
      <c r="H1112" s="1"/>
    </row>
    <row r="1113" spans="2:8" ht="12.75">
      <c r="B1113" s="5" t="s">
        <v>4</v>
      </c>
      <c r="C1113" s="31" t="s">
        <v>40</v>
      </c>
      <c r="D1113" s="6" t="s">
        <v>41</v>
      </c>
      <c r="E1113" s="1"/>
      <c r="F1113" s="1"/>
      <c r="G1113" s="1"/>
      <c r="H1113" s="1"/>
    </row>
    <row r="1114" spans="2:8" ht="12.75">
      <c r="B1114" s="6"/>
      <c r="C1114" s="6"/>
      <c r="D1114" s="7"/>
      <c r="E1114" s="1"/>
      <c r="F1114" s="1"/>
      <c r="G1114" s="1"/>
      <c r="H1114" s="1"/>
    </row>
    <row r="1115" spans="2:8" ht="12.75">
      <c r="B1115" s="10" t="s">
        <v>42</v>
      </c>
      <c r="C1115" s="8">
        <v>2930.7</v>
      </c>
      <c r="D1115" s="8"/>
      <c r="E1115" s="1"/>
      <c r="F1115" s="1"/>
      <c r="G1115" s="1"/>
      <c r="H1115" s="1"/>
    </row>
    <row r="1116" spans="2:8" ht="12.75">
      <c r="B1116" s="11" t="s">
        <v>13</v>
      </c>
      <c r="C1116" s="32">
        <v>59.14</v>
      </c>
      <c r="D1116" s="14">
        <f>C1116/2930.7/12*1000</f>
        <v>1.6816232754404525</v>
      </c>
      <c r="E1116" s="1"/>
      <c r="F1116" s="1"/>
      <c r="G1116" s="1"/>
      <c r="H1116" s="1"/>
    </row>
    <row r="1117" spans="2:8" ht="12.75">
      <c r="B1117" s="15" t="s">
        <v>14</v>
      </c>
      <c r="C1117" s="9">
        <f>SUM(C1118:C1120)</f>
        <v>194.15</v>
      </c>
      <c r="D1117" s="9">
        <f>SUM(D1118:D1120)</f>
        <v>5.520580976103548</v>
      </c>
      <c r="E1117" s="1"/>
      <c r="F1117" s="1"/>
      <c r="G1117" s="1"/>
      <c r="H1117" s="1"/>
    </row>
    <row r="1118" spans="2:8" ht="12.75">
      <c r="B1118" s="6" t="s">
        <v>43</v>
      </c>
      <c r="C1118" s="8">
        <f>22.86+30.95</f>
        <v>53.81</v>
      </c>
      <c r="D1118" s="8">
        <f>C1118/2930.7/12*1000</f>
        <v>1.5300667644817507</v>
      </c>
      <c r="E1118" s="1"/>
      <c r="F1118" s="1"/>
      <c r="G1118" s="1"/>
      <c r="H1118" s="1"/>
    </row>
    <row r="1119" spans="2:8" ht="12.75">
      <c r="B1119" s="17" t="s">
        <v>44</v>
      </c>
      <c r="C1119" s="8">
        <v>25.89</v>
      </c>
      <c r="D1119" s="8">
        <f>C1119/2930.7/12*1000</f>
        <v>0.7361722455386086</v>
      </c>
      <c r="E1119" s="1"/>
      <c r="F1119" s="1"/>
      <c r="G1119" s="1"/>
      <c r="H1119" s="1"/>
    </row>
    <row r="1120" spans="2:8" ht="12.75">
      <c r="B1120" s="6" t="s">
        <v>16</v>
      </c>
      <c r="C1120" s="8">
        <v>114.45</v>
      </c>
      <c r="D1120" s="8">
        <f>C1120/2930.7/12*1000</f>
        <v>3.2543419660831887</v>
      </c>
      <c r="E1120" s="1"/>
      <c r="F1120" s="1"/>
      <c r="G1120" s="1"/>
      <c r="H1120" s="1"/>
    </row>
    <row r="1121" spans="2:8" ht="12.75">
      <c r="B1121" s="10" t="s">
        <v>19</v>
      </c>
      <c r="C1121" s="22">
        <f>SUM(C1122:C1126)</f>
        <v>100.94000000000001</v>
      </c>
      <c r="D1121" s="22">
        <f>SUM(D1122:D1126)</f>
        <v>2.8701902844599134</v>
      </c>
      <c r="E1121" s="1"/>
      <c r="F1121" s="1"/>
      <c r="G1121" s="1"/>
      <c r="H1121" s="1"/>
    </row>
    <row r="1122" spans="2:8" ht="12.75">
      <c r="B1122" s="6" t="s">
        <v>45</v>
      </c>
      <c r="C1122" s="8">
        <f>69.18+13.97+7</f>
        <v>90.15</v>
      </c>
      <c r="D1122" s="8">
        <f>C1122/2930.7/12*1000</f>
        <v>2.5633807622752247</v>
      </c>
      <c r="E1122" s="1"/>
      <c r="F1122" s="1"/>
      <c r="G1122" s="1"/>
      <c r="H1122" s="1"/>
    </row>
    <row r="1123" spans="2:8" ht="12.75">
      <c r="B1123" s="6" t="s">
        <v>46</v>
      </c>
      <c r="C1123" s="8">
        <v>0</v>
      </c>
      <c r="D1123" s="8">
        <f>C1123/2930.7/12*1000</f>
        <v>0</v>
      </c>
      <c r="E1123" s="1"/>
      <c r="F1123" s="1"/>
      <c r="G1123" s="1"/>
      <c r="H1123" s="1"/>
    </row>
    <row r="1124" spans="2:8" ht="12.75">
      <c r="B1124" s="20" t="s">
        <v>47</v>
      </c>
      <c r="C1124" s="8">
        <v>0.9</v>
      </c>
      <c r="D1124" s="8">
        <f>C1124/2930.7/12*1000</f>
        <v>0.02559115569659126</v>
      </c>
      <c r="E1124" s="1"/>
      <c r="F1124" s="1"/>
      <c r="G1124" s="1"/>
      <c r="H1124" s="1"/>
    </row>
    <row r="1125" spans="2:8" ht="12.75">
      <c r="B1125" s="8" t="s">
        <v>48</v>
      </c>
      <c r="C1125" s="8">
        <v>8.63</v>
      </c>
      <c r="D1125" s="8">
        <f>C1125/2930.7/12*1000</f>
        <v>0.24539074851286954</v>
      </c>
      <c r="E1125" s="1"/>
      <c r="F1125" s="1"/>
      <c r="G1125" s="1"/>
      <c r="H1125" s="1"/>
    </row>
    <row r="1126" spans="2:8" ht="12.75">
      <c r="B1126" s="8" t="s">
        <v>50</v>
      </c>
      <c r="C1126" s="8">
        <v>1.26</v>
      </c>
      <c r="D1126" s="8">
        <f>C1126/2930.7/12*1000</f>
        <v>0.035827617975227766</v>
      </c>
      <c r="E1126" s="1"/>
      <c r="F1126" s="1"/>
      <c r="G1126" s="1"/>
      <c r="H1126" s="1"/>
    </row>
    <row r="1127" spans="2:8" ht="12.75">
      <c r="B1127" s="14" t="s">
        <v>27</v>
      </c>
      <c r="C1127" s="14">
        <f>43.73+6.72</f>
        <v>50.449999999999996</v>
      </c>
      <c r="D1127" s="14">
        <v>1.44</v>
      </c>
      <c r="E1127" s="1"/>
      <c r="F1127" s="1"/>
      <c r="G1127" s="1"/>
      <c r="H1127" s="1"/>
    </row>
    <row r="1128" spans="2:8" ht="12.75">
      <c r="B1128" s="14"/>
      <c r="C1128" s="14"/>
      <c r="D1128" s="8"/>
      <c r="E1128" s="1"/>
      <c r="F1128" s="1"/>
      <c r="G1128" s="1"/>
      <c r="H1128" s="1"/>
    </row>
    <row r="1129" spans="2:8" ht="12.75">
      <c r="B1129" s="14" t="s">
        <v>29</v>
      </c>
      <c r="C1129" s="14">
        <f>C1116+C1117+C1121+C1127+C1128</f>
        <v>404.68</v>
      </c>
      <c r="D1129" s="14">
        <f>D1116+D1117+D1121+D1127+D1128</f>
        <v>11.512394536003914</v>
      </c>
      <c r="E1129" s="1"/>
      <c r="F1129" s="1"/>
      <c r="G1129" s="1"/>
      <c r="H1129" s="1"/>
    </row>
    <row r="1130" spans="2:8" ht="12.75">
      <c r="B1130" s="8" t="s">
        <v>51</v>
      </c>
      <c r="C1130" s="8">
        <v>40.47</v>
      </c>
      <c r="D1130" s="8">
        <v>1.15</v>
      </c>
      <c r="E1130" s="1"/>
      <c r="F1130" s="1"/>
      <c r="G1130" s="1"/>
      <c r="H1130" s="1"/>
    </row>
    <row r="1131" spans="2:8" ht="12.75">
      <c r="B1131" s="14" t="s">
        <v>31</v>
      </c>
      <c r="C1131" s="23">
        <f>C1129+C1130</f>
        <v>445.15</v>
      </c>
      <c r="D1131" s="23">
        <f>D1129+D1130</f>
        <v>12.662394536003914</v>
      </c>
      <c r="E1131" s="1"/>
      <c r="F1131" s="1"/>
      <c r="G1131" s="1"/>
      <c r="H1131" s="1"/>
    </row>
    <row r="1132" spans="2:8" ht="12.75">
      <c r="B1132" s="6" t="s">
        <v>34</v>
      </c>
      <c r="C1132" s="23">
        <f>C1131/C1115/12*1000</f>
        <v>12.657669953708442</v>
      </c>
      <c r="D1132" s="8"/>
      <c r="E1132" s="1"/>
      <c r="F1132" s="1"/>
      <c r="G1132" s="1"/>
      <c r="H1132" s="1"/>
    </row>
    <row r="1133" spans="2:8" ht="12.75">
      <c r="B1133" s="1"/>
      <c r="C1133" s="1"/>
      <c r="D1133" s="1"/>
      <c r="E1133" s="1"/>
      <c r="F1133" s="1"/>
      <c r="G1133" s="1"/>
      <c r="H1133" s="1"/>
    </row>
    <row r="1134" spans="2:8" ht="12.75">
      <c r="B1134" s="1" t="s">
        <v>52</v>
      </c>
      <c r="C1134" s="1"/>
      <c r="D1134" s="1"/>
      <c r="E1134" s="1"/>
      <c r="F1134" s="1"/>
      <c r="G1134" s="1"/>
      <c r="H1134" s="1"/>
    </row>
    <row r="1135" spans="2:8" ht="12.75">
      <c r="B1135" s="1"/>
      <c r="C1135" s="1"/>
      <c r="D1135" s="1"/>
      <c r="E1135" s="1"/>
      <c r="F1135" s="1"/>
      <c r="G1135" s="1"/>
      <c r="H1135" s="1"/>
    </row>
    <row r="1136" spans="2:8" ht="12.75">
      <c r="B1136" s="2" t="s">
        <v>0</v>
      </c>
      <c r="C1136" s="2"/>
      <c r="D1136" s="2"/>
      <c r="E1136" s="1"/>
      <c r="F1136" s="1"/>
      <c r="G1136" s="1"/>
      <c r="H1136" s="1"/>
    </row>
    <row r="1137" spans="2:8" ht="12.75">
      <c r="B1137" s="2" t="s">
        <v>65</v>
      </c>
      <c r="C1137" s="2"/>
      <c r="D1137" s="2"/>
      <c r="E1137" s="1"/>
      <c r="F1137" s="1"/>
      <c r="G1137" s="1"/>
      <c r="H1137" s="1"/>
    </row>
    <row r="1138" spans="2:8" ht="12.75">
      <c r="B1138" s="2" t="s">
        <v>111</v>
      </c>
      <c r="C1138" s="2"/>
      <c r="D1138" s="2"/>
      <c r="E1138" s="1"/>
      <c r="F1138" s="1"/>
      <c r="G1138" s="1"/>
      <c r="H1138" s="1"/>
    </row>
    <row r="1139" spans="2:8" ht="12.75">
      <c r="B1139" s="3"/>
      <c r="C1139" s="3"/>
      <c r="D1139" s="1"/>
      <c r="E1139" s="1"/>
      <c r="F1139" s="1"/>
      <c r="G1139" s="1"/>
      <c r="H1139" s="1"/>
    </row>
    <row r="1140" spans="2:8" ht="12.75">
      <c r="B1140" s="5" t="s">
        <v>4</v>
      </c>
      <c r="C1140" s="31" t="s">
        <v>40</v>
      </c>
      <c r="D1140" s="6" t="s">
        <v>41</v>
      </c>
      <c r="E1140" s="1"/>
      <c r="F1140" s="1"/>
      <c r="G1140" s="1"/>
      <c r="H1140" s="1"/>
    </row>
    <row r="1141" spans="2:8" ht="12.75">
      <c r="B1141" s="6"/>
      <c r="C1141" s="6"/>
      <c r="D1141" s="7"/>
      <c r="E1141" s="1"/>
      <c r="F1141" s="1"/>
      <c r="G1141" s="1"/>
      <c r="H1141" s="1"/>
    </row>
    <row r="1142" spans="2:8" ht="12.75">
      <c r="B1142" s="10" t="s">
        <v>42</v>
      </c>
      <c r="C1142" s="8">
        <v>8110.6</v>
      </c>
      <c r="D1142" s="8"/>
      <c r="E1142" s="1"/>
      <c r="F1142" s="1"/>
      <c r="G1142" s="1"/>
      <c r="H1142" s="1"/>
    </row>
    <row r="1143" spans="2:8" ht="12.75">
      <c r="B1143" s="11" t="s">
        <v>13</v>
      </c>
      <c r="C1143" s="32">
        <v>173.04</v>
      </c>
      <c r="D1143" s="14">
        <f>C1143/8110.6/12*1000</f>
        <v>1.777920252509062</v>
      </c>
      <c r="E1143" s="1"/>
      <c r="F1143" s="1"/>
      <c r="G1143" s="1"/>
      <c r="H1143" s="1"/>
    </row>
    <row r="1144" spans="2:8" ht="12.75">
      <c r="B1144" s="15" t="s">
        <v>14</v>
      </c>
      <c r="C1144" s="9">
        <f>SUM(C1145:C1148)</f>
        <v>643.88</v>
      </c>
      <c r="D1144" s="9">
        <f>SUM(D1145:D1148)</f>
        <v>6.615622354285339</v>
      </c>
      <c r="E1144" s="1"/>
      <c r="F1144" s="1"/>
      <c r="G1144" s="1"/>
      <c r="H1144" s="1"/>
    </row>
    <row r="1145" spans="2:8" ht="12.75">
      <c r="B1145" s="6" t="s">
        <v>43</v>
      </c>
      <c r="C1145" s="8">
        <f>63.27+85.64</f>
        <v>148.91</v>
      </c>
      <c r="D1145" s="8">
        <f>C1145/8110.6/12*1000</f>
        <v>1.5299936708340525</v>
      </c>
      <c r="E1145" s="1"/>
      <c r="F1145" s="1"/>
      <c r="G1145" s="1"/>
      <c r="H1145" s="1"/>
    </row>
    <row r="1146" spans="2:8" ht="12.75">
      <c r="B1146" s="17" t="s">
        <v>44</v>
      </c>
      <c r="C1146" s="8">
        <v>71.65</v>
      </c>
      <c r="D1146" s="8">
        <f>C1146/8110.6/12*1000</f>
        <v>0.7361765261920614</v>
      </c>
      <c r="E1146" s="1"/>
      <c r="F1146" s="1"/>
      <c r="G1146" s="1"/>
      <c r="H1146" s="1"/>
    </row>
    <row r="1147" spans="2:8" ht="12.75">
      <c r="B1147" s="6" t="s">
        <v>16</v>
      </c>
      <c r="C1147" s="8">
        <v>398.47</v>
      </c>
      <c r="D1147" s="8">
        <f>C1147/8110.6/12*1000</f>
        <v>4.094127849152139</v>
      </c>
      <c r="E1147" s="1"/>
      <c r="F1147" s="1"/>
      <c r="G1147" s="1"/>
      <c r="H1147" s="1"/>
    </row>
    <row r="1148" spans="2:8" ht="12.75">
      <c r="B1148" s="6" t="s">
        <v>64</v>
      </c>
      <c r="C1148" s="8">
        <v>24.85</v>
      </c>
      <c r="D1148" s="8">
        <f>C1148/8110.6/12*1000</f>
        <v>0.2553243081070862</v>
      </c>
      <c r="E1148" s="1"/>
      <c r="F1148" s="1"/>
      <c r="G1148" s="1"/>
      <c r="H1148" s="1"/>
    </row>
    <row r="1149" spans="2:8" ht="12.75">
      <c r="B1149" s="10" t="s">
        <v>19</v>
      </c>
      <c r="C1149" s="22">
        <f>SUM(C1150:C1154)</f>
        <v>207.66000000000003</v>
      </c>
      <c r="D1149" s="22">
        <f>SUM(D1150:D1154)</f>
        <v>2.133627598451409</v>
      </c>
      <c r="E1149" s="1"/>
      <c r="F1149" s="1"/>
      <c r="G1149" s="1"/>
      <c r="H1149" s="1"/>
    </row>
    <row r="1150" spans="2:8" ht="12.75">
      <c r="B1150" s="6" t="s">
        <v>45</v>
      </c>
      <c r="C1150" s="8">
        <f>138.2+27.92+13.99</f>
        <v>180.11</v>
      </c>
      <c r="D1150" s="8">
        <f>C1150/8110.6/12*1000</f>
        <v>1.850561816224036</v>
      </c>
      <c r="E1150" s="1"/>
      <c r="F1150" s="1"/>
      <c r="G1150" s="1"/>
      <c r="H1150" s="1"/>
    </row>
    <row r="1151" spans="2:8" ht="12.75">
      <c r="B1151" s="6" t="s">
        <v>46</v>
      </c>
      <c r="C1151" s="8">
        <v>0</v>
      </c>
      <c r="D1151" s="8">
        <f>C1151/8110.6/12*1000</f>
        <v>0</v>
      </c>
      <c r="E1151" s="1"/>
      <c r="F1151" s="1"/>
      <c r="G1151" s="1"/>
      <c r="H1151" s="1"/>
    </row>
    <row r="1152" spans="2:8" ht="12.75">
      <c r="B1152" s="20" t="s">
        <v>47</v>
      </c>
      <c r="C1152" s="8">
        <v>6.1</v>
      </c>
      <c r="D1152" s="8">
        <f>C1152/8110.6/12*1000</f>
        <v>0.06267518227175958</v>
      </c>
      <c r="E1152" s="1"/>
      <c r="F1152" s="1"/>
      <c r="G1152" s="1"/>
      <c r="H1152" s="1"/>
    </row>
    <row r="1153" spans="2:8" ht="12.75">
      <c r="B1153" s="8" t="s">
        <v>48</v>
      </c>
      <c r="C1153" s="8">
        <v>17.52</v>
      </c>
      <c r="D1153" s="8">
        <f>C1153/8110.6/12*1000</f>
        <v>0.18001134318052917</v>
      </c>
      <c r="E1153" s="1"/>
      <c r="F1153" s="1"/>
      <c r="G1153" s="1"/>
      <c r="H1153" s="1"/>
    </row>
    <row r="1154" spans="2:8" ht="12.75">
      <c r="B1154" s="8" t="s">
        <v>50</v>
      </c>
      <c r="C1154" s="8">
        <v>3.93</v>
      </c>
      <c r="D1154" s="8">
        <f>C1154/8110.6/12*1000</f>
        <v>0.04037925677508446</v>
      </c>
      <c r="E1154" s="1"/>
      <c r="F1154" s="1"/>
      <c r="G1154" s="1"/>
      <c r="H1154" s="1"/>
    </row>
    <row r="1155" spans="2:8" ht="12.75">
      <c r="B1155" s="14" t="s">
        <v>27</v>
      </c>
      <c r="C1155" s="14">
        <f>121.01+19.67</f>
        <v>140.68</v>
      </c>
      <c r="D1155" s="14">
        <f>C1155/8110.6/12*1000</f>
        <v>1.4454335478674</v>
      </c>
      <c r="E1155" s="1"/>
      <c r="F1155" s="1"/>
      <c r="G1155" s="1"/>
      <c r="H1155" s="1"/>
    </row>
    <row r="1156" spans="2:8" ht="12.75">
      <c r="B1156" s="14"/>
      <c r="C1156" s="14"/>
      <c r="D1156" s="8"/>
      <c r="E1156" s="1"/>
      <c r="F1156" s="1"/>
      <c r="G1156" s="1"/>
      <c r="H1156" s="1"/>
    </row>
    <row r="1157" spans="2:8" ht="12.75">
      <c r="B1157" s="14" t="s">
        <v>29</v>
      </c>
      <c r="C1157" s="14">
        <f>C1143+C1144+C1149+C1155+C1156</f>
        <v>1165.26</v>
      </c>
      <c r="D1157" s="14">
        <f>D1143+D1144+D1149+D1155+D1156</f>
        <v>11.97260375311321</v>
      </c>
      <c r="E1157" s="1"/>
      <c r="F1157" s="1"/>
      <c r="G1157" s="1"/>
      <c r="H1157" s="1"/>
    </row>
    <row r="1158" spans="2:8" ht="12.75">
      <c r="B1158" s="8" t="s">
        <v>51</v>
      </c>
      <c r="C1158" s="8">
        <v>116.53</v>
      </c>
      <c r="D1158" s="8">
        <v>1.2</v>
      </c>
      <c r="E1158" s="1"/>
      <c r="F1158" s="1"/>
      <c r="G1158" s="1"/>
      <c r="H1158" s="1"/>
    </row>
    <row r="1159" spans="2:8" ht="12.75">
      <c r="B1159" s="14" t="s">
        <v>31</v>
      </c>
      <c r="C1159" s="23">
        <f>C1157+C1158</f>
        <v>1281.79</v>
      </c>
      <c r="D1159" s="23">
        <f>D1157+D1158</f>
        <v>13.17260375311321</v>
      </c>
      <c r="E1159" s="1"/>
      <c r="F1159" s="1"/>
      <c r="G1159" s="1"/>
      <c r="H1159" s="1"/>
    </row>
    <row r="1160" spans="2:8" ht="12.75">
      <c r="B1160" s="6" t="s">
        <v>34</v>
      </c>
      <c r="C1160" s="23">
        <f>C1159/C1142/12*1000</f>
        <v>13.169905226904708</v>
      </c>
      <c r="D1160" s="8"/>
      <c r="E1160" s="1"/>
      <c r="F1160" s="1"/>
      <c r="G1160" s="1"/>
      <c r="H1160" s="1"/>
    </row>
    <row r="1161" spans="2:8" ht="12.75">
      <c r="B1161" s="1"/>
      <c r="C1161" s="1"/>
      <c r="D1161" s="1"/>
      <c r="E1161" s="1"/>
      <c r="F1161" s="1"/>
      <c r="G1161" s="1"/>
      <c r="H1161" s="1"/>
    </row>
    <row r="1162" spans="2:8" ht="12.75">
      <c r="B1162" s="1" t="s">
        <v>52</v>
      </c>
      <c r="C1162" s="1"/>
      <c r="D1162" s="1"/>
      <c r="E1162" s="1"/>
      <c r="F1162" s="1"/>
      <c r="G1162" s="1"/>
      <c r="H1162" s="1"/>
    </row>
    <row r="1163" spans="2:8" ht="12.75">
      <c r="B1163" s="1"/>
      <c r="C1163" s="1"/>
      <c r="D1163" s="1"/>
      <c r="E1163" s="1"/>
      <c r="F1163" s="1"/>
      <c r="G1163" s="1"/>
      <c r="H1163" s="1"/>
    </row>
    <row r="1164" spans="2:8" ht="12.75">
      <c r="B1164" s="2" t="s">
        <v>0</v>
      </c>
      <c r="C1164" s="2"/>
      <c r="D1164" s="2"/>
      <c r="E1164" s="1"/>
      <c r="F1164" s="1"/>
      <c r="G1164" s="1"/>
      <c r="H1164" s="1"/>
    </row>
    <row r="1165" spans="2:8" ht="12.75">
      <c r="B1165" s="2" t="s">
        <v>65</v>
      </c>
      <c r="C1165" s="2"/>
      <c r="D1165" s="2"/>
      <c r="E1165" s="1"/>
      <c r="F1165" s="1"/>
      <c r="G1165" s="1"/>
      <c r="H1165" s="1"/>
    </row>
    <row r="1166" spans="2:8" ht="12.75">
      <c r="B1166" s="2" t="s">
        <v>112</v>
      </c>
      <c r="C1166" s="2"/>
      <c r="D1166" s="2"/>
      <c r="E1166" s="1"/>
      <c r="F1166" s="1"/>
      <c r="G1166" s="1"/>
      <c r="H1166" s="1"/>
    </row>
    <row r="1167" spans="2:8" ht="12.75">
      <c r="B1167" s="3"/>
      <c r="C1167" s="3"/>
      <c r="D1167" s="1"/>
      <c r="E1167" s="1"/>
      <c r="F1167" s="1"/>
      <c r="G1167" s="1"/>
      <c r="H1167" s="1"/>
    </row>
    <row r="1168" spans="2:8" ht="12.75">
      <c r="B1168" s="5" t="s">
        <v>4</v>
      </c>
      <c r="C1168" s="31" t="s">
        <v>40</v>
      </c>
      <c r="D1168" s="6" t="s">
        <v>41</v>
      </c>
      <c r="E1168" s="1"/>
      <c r="F1168" s="1"/>
      <c r="G1168" s="1"/>
      <c r="H1168" s="1"/>
    </row>
    <row r="1169" spans="2:8" ht="12.75">
      <c r="B1169" s="6"/>
      <c r="C1169" s="6"/>
      <c r="D1169" s="7"/>
      <c r="E1169" s="1"/>
      <c r="F1169" s="1"/>
      <c r="G1169" s="1"/>
      <c r="H1169" s="1"/>
    </row>
    <row r="1170" spans="2:8" ht="12.75">
      <c r="B1170" s="10" t="s">
        <v>42</v>
      </c>
      <c r="C1170" s="8">
        <v>443.7</v>
      </c>
      <c r="D1170" s="8"/>
      <c r="E1170" s="1"/>
      <c r="F1170" s="1"/>
      <c r="G1170" s="1"/>
      <c r="H1170" s="1"/>
    </row>
    <row r="1171" spans="2:8" ht="12.75">
      <c r="B1171" s="11" t="s">
        <v>13</v>
      </c>
      <c r="C1171" s="30">
        <v>9.1</v>
      </c>
      <c r="D1171" s="8">
        <f>C1171/443.7/12*1000</f>
        <v>1.709112763879498</v>
      </c>
      <c r="E1171" s="1"/>
      <c r="F1171" s="1"/>
      <c r="G1171" s="1"/>
      <c r="H1171" s="1"/>
    </row>
    <row r="1172" spans="2:8" ht="12.75">
      <c r="B1172" s="15" t="s">
        <v>14</v>
      </c>
      <c r="C1172" s="56">
        <f>SUM(C1173:C1175)</f>
        <v>34.25</v>
      </c>
      <c r="D1172" s="56">
        <f>SUM(D1173:D1175)</f>
        <v>6.432649688227782</v>
      </c>
      <c r="E1172" s="1"/>
      <c r="F1172" s="1"/>
      <c r="G1172" s="1"/>
      <c r="H1172" s="1"/>
    </row>
    <row r="1173" spans="2:8" ht="12.75">
      <c r="B1173" s="6" t="s">
        <v>43</v>
      </c>
      <c r="C1173" s="8">
        <f>3.46+4.69</f>
        <v>8.15</v>
      </c>
      <c r="D1173" s="8">
        <f>C1173/443.7/12*1000</f>
        <v>1.530688903914056</v>
      </c>
      <c r="E1173" s="1"/>
      <c r="F1173" s="1"/>
      <c r="G1173" s="1"/>
      <c r="H1173" s="1"/>
    </row>
    <row r="1174" spans="2:8" ht="12.75">
      <c r="B1174" s="17" t="s">
        <v>44</v>
      </c>
      <c r="C1174" s="8">
        <v>3.92</v>
      </c>
      <c r="D1174" s="8">
        <f>C1174/443.7/12*1000</f>
        <v>0.7362331905942453</v>
      </c>
      <c r="E1174" s="1"/>
      <c r="F1174" s="1"/>
      <c r="G1174" s="1"/>
      <c r="H1174" s="1"/>
    </row>
    <row r="1175" spans="2:8" ht="12.75">
      <c r="B1175" s="6" t="s">
        <v>16</v>
      </c>
      <c r="C1175" s="8">
        <v>22.18</v>
      </c>
      <c r="D1175" s="8">
        <f>C1175/443.7/12*1000</f>
        <v>4.16572759371948</v>
      </c>
      <c r="E1175" s="1"/>
      <c r="F1175" s="1"/>
      <c r="G1175" s="1"/>
      <c r="H1175" s="1"/>
    </row>
    <row r="1176" spans="2:8" ht="12.75">
      <c r="B1176" s="10" t="s">
        <v>19</v>
      </c>
      <c r="C1176" s="22">
        <f>SUM(C1177:C1182)</f>
        <v>10.270000000000001</v>
      </c>
      <c r="D1176" s="22">
        <f>SUM(D1177:D1182)</f>
        <v>1.928855833521148</v>
      </c>
      <c r="E1176" s="1"/>
      <c r="F1176" s="1"/>
      <c r="G1176" s="1"/>
      <c r="H1176" s="1"/>
    </row>
    <row r="1177" spans="2:8" ht="12.75">
      <c r="B1177" s="6" t="s">
        <v>45</v>
      </c>
      <c r="C1177" s="8">
        <f>6.37+1.29+0.64</f>
        <v>8.3</v>
      </c>
      <c r="D1177" s="8">
        <f>C1177/443.7/12*1000</f>
        <v>1.5588610923296524</v>
      </c>
      <c r="E1177" s="1"/>
      <c r="F1177" s="1"/>
      <c r="G1177" s="1"/>
      <c r="H1177" s="1"/>
    </row>
    <row r="1178" spans="2:8" ht="12.75">
      <c r="B1178" s="6" t="s">
        <v>46</v>
      </c>
      <c r="C1178" s="8"/>
      <c r="D1178" s="8">
        <f>C1178/443.7/12*1000</f>
        <v>0</v>
      </c>
      <c r="E1178" s="1"/>
      <c r="F1178" s="1"/>
      <c r="G1178" s="1"/>
      <c r="H1178" s="1"/>
    </row>
    <row r="1179" spans="2:8" ht="12.75">
      <c r="B1179" s="20" t="s">
        <v>47</v>
      </c>
      <c r="C1179" s="8">
        <v>0.12</v>
      </c>
      <c r="D1179" s="8">
        <f>C1179/443.7/12*1000</f>
        <v>0.022537750732476897</v>
      </c>
      <c r="E1179" s="1"/>
      <c r="F1179" s="1"/>
      <c r="G1179" s="1"/>
      <c r="H1179" s="1"/>
    </row>
    <row r="1180" spans="2:8" ht="12.75">
      <c r="B1180" s="8" t="s">
        <v>48</v>
      </c>
      <c r="C1180" s="8">
        <v>1.59</v>
      </c>
      <c r="D1180" s="8">
        <f>C1180/443.7/12*1000</f>
        <v>0.29862519720531894</v>
      </c>
      <c r="E1180" s="1"/>
      <c r="F1180" s="1"/>
      <c r="G1180" s="1"/>
      <c r="H1180" s="1"/>
    </row>
    <row r="1181" spans="2:8" ht="12.75">
      <c r="B1181" s="8" t="s">
        <v>49</v>
      </c>
      <c r="C1181" s="8"/>
      <c r="D1181" s="8">
        <f>C1181/443.7/12*1000</f>
        <v>0</v>
      </c>
      <c r="E1181" s="1"/>
      <c r="F1181" s="1"/>
      <c r="G1181" s="1"/>
      <c r="H1181" s="1"/>
    </row>
    <row r="1182" spans="2:8" ht="12.75">
      <c r="B1182" s="8" t="s">
        <v>50</v>
      </c>
      <c r="C1182" s="8">
        <v>0.26</v>
      </c>
      <c r="D1182" s="8">
        <f>C1182/443.7/12*1000</f>
        <v>0.04883179325369995</v>
      </c>
      <c r="E1182" s="1"/>
      <c r="F1182" s="1"/>
      <c r="G1182" s="1"/>
      <c r="H1182" s="1"/>
    </row>
    <row r="1183" spans="2:8" ht="12.75">
      <c r="B1183" s="14" t="s">
        <v>27</v>
      </c>
      <c r="C1183" s="14">
        <f>6.62+1.03</f>
        <v>7.65</v>
      </c>
      <c r="D1183" s="14">
        <f>C1183/443.7/12*1000</f>
        <v>1.4367816091954022</v>
      </c>
      <c r="E1183" s="1"/>
      <c r="F1183" s="1"/>
      <c r="G1183" s="1"/>
      <c r="H1183" s="1"/>
    </row>
    <row r="1184" spans="2:8" ht="12.75">
      <c r="B1184" s="14"/>
      <c r="C1184" s="14"/>
      <c r="D1184" s="8"/>
      <c r="E1184" s="1"/>
      <c r="F1184" s="1"/>
      <c r="G1184" s="1"/>
      <c r="H1184" s="1"/>
    </row>
    <row r="1185" spans="2:8" ht="12.75">
      <c r="B1185" s="14" t="s">
        <v>29</v>
      </c>
      <c r="C1185" s="14">
        <f>C1171+C1172+C1176+C1183+C1184</f>
        <v>61.27</v>
      </c>
      <c r="D1185" s="14">
        <f>D1171+D1172+D1176+D1183+D1184</f>
        <v>11.507399894823829</v>
      </c>
      <c r="E1185" s="1"/>
      <c r="F1185" s="1"/>
      <c r="G1185" s="1"/>
      <c r="H1185" s="1"/>
    </row>
    <row r="1186" spans="2:8" ht="12.75">
      <c r="B1186" s="8" t="s">
        <v>51</v>
      </c>
      <c r="C1186" s="8">
        <v>6.13</v>
      </c>
      <c r="D1186" s="8">
        <f>C1186/443.7/12*1000</f>
        <v>1.1513034332506948</v>
      </c>
      <c r="E1186" s="1"/>
      <c r="F1186" s="1"/>
      <c r="G1186" s="1"/>
      <c r="H1186" s="1"/>
    </row>
    <row r="1187" spans="2:8" ht="12.75">
      <c r="B1187" s="14" t="s">
        <v>31</v>
      </c>
      <c r="C1187" s="23">
        <f>C1185+C1186</f>
        <v>67.4</v>
      </c>
      <c r="D1187" s="23">
        <f>D1185+D1186</f>
        <v>12.658703328074523</v>
      </c>
      <c r="E1187" s="1"/>
      <c r="F1187" s="1"/>
      <c r="G1187" s="1"/>
      <c r="H1187" s="1"/>
    </row>
    <row r="1188" spans="2:8" ht="12.75">
      <c r="B1188" s="6" t="s">
        <v>34</v>
      </c>
      <c r="C1188" s="23">
        <f>C1187/C1170/12*1000</f>
        <v>12.658703328074527</v>
      </c>
      <c r="D1188" s="8"/>
      <c r="E1188" s="1"/>
      <c r="F1188" s="1"/>
      <c r="G1188" s="1"/>
      <c r="H1188" s="1"/>
    </row>
    <row r="1189" spans="2:8" ht="12.75">
      <c r="B1189" s="1"/>
      <c r="C1189" s="1"/>
      <c r="D1189" s="1"/>
      <c r="E1189" s="1"/>
      <c r="F1189" s="1"/>
      <c r="G1189" s="1"/>
      <c r="H1189" s="1"/>
    </row>
    <row r="1190" spans="2:8" ht="12.75">
      <c r="B1190" s="1" t="s">
        <v>52</v>
      </c>
      <c r="C1190" s="1"/>
      <c r="D1190" s="1"/>
      <c r="E1190" s="1"/>
      <c r="F1190" s="1"/>
      <c r="G1190" s="1"/>
      <c r="H1190" s="1"/>
    </row>
    <row r="1191" spans="2:8" ht="12.75">
      <c r="B1191" s="1"/>
      <c r="C1191" s="1"/>
      <c r="D1191" s="1"/>
      <c r="E1191" s="1"/>
      <c r="F1191" s="1"/>
      <c r="G1191" s="1"/>
      <c r="H1191" s="1"/>
    </row>
    <row r="1192" spans="2:8" ht="12.75">
      <c r="B1192" s="2" t="s">
        <v>0</v>
      </c>
      <c r="C1192" s="2"/>
      <c r="D1192" s="2"/>
      <c r="E1192" s="1"/>
      <c r="F1192" s="1"/>
      <c r="G1192" s="1"/>
      <c r="H1192" s="1"/>
    </row>
    <row r="1193" spans="2:8" ht="12.75">
      <c r="B1193" s="2" t="s">
        <v>65</v>
      </c>
      <c r="C1193" s="2"/>
      <c r="D1193" s="2"/>
      <c r="E1193" s="1"/>
      <c r="F1193" s="1"/>
      <c r="G1193" s="1"/>
      <c r="H1193" s="1"/>
    </row>
    <row r="1194" spans="2:8" ht="12.75">
      <c r="B1194" s="2" t="s">
        <v>113</v>
      </c>
      <c r="C1194" s="2"/>
      <c r="D1194" s="2"/>
      <c r="E1194" s="1"/>
      <c r="F1194" s="1"/>
      <c r="G1194" s="1"/>
      <c r="H1194" s="1"/>
    </row>
    <row r="1195" spans="2:8" ht="12.75">
      <c r="B1195" s="3"/>
      <c r="C1195" s="3"/>
      <c r="D1195" s="1"/>
      <c r="E1195" s="1"/>
      <c r="F1195" s="1"/>
      <c r="G1195" s="1"/>
      <c r="H1195" s="1"/>
    </row>
    <row r="1196" spans="2:8" ht="12.75">
      <c r="B1196" s="5" t="s">
        <v>4</v>
      </c>
      <c r="C1196" s="31" t="s">
        <v>40</v>
      </c>
      <c r="D1196" s="6" t="s">
        <v>41</v>
      </c>
      <c r="E1196" s="1"/>
      <c r="F1196" s="1"/>
      <c r="G1196" s="1"/>
      <c r="H1196" s="1"/>
    </row>
    <row r="1197" spans="2:8" ht="12.75">
      <c r="B1197" s="6"/>
      <c r="C1197" s="6"/>
      <c r="D1197" s="7"/>
      <c r="E1197" s="1"/>
      <c r="F1197" s="1"/>
      <c r="G1197" s="1"/>
      <c r="H1197" s="1"/>
    </row>
    <row r="1198" spans="2:8" ht="12.75">
      <c r="B1198" s="10" t="s">
        <v>42</v>
      </c>
      <c r="C1198" s="8">
        <v>2286.5</v>
      </c>
      <c r="D1198" s="8"/>
      <c r="E1198" s="1"/>
      <c r="F1198" s="1"/>
      <c r="G1198" s="1"/>
      <c r="H1198" s="1"/>
    </row>
    <row r="1199" spans="2:8" ht="12.75">
      <c r="B1199" s="11" t="s">
        <v>13</v>
      </c>
      <c r="C1199" s="30">
        <v>46.89</v>
      </c>
      <c r="D1199" s="8">
        <f>C1199/2286.5/12*1000</f>
        <v>1.7089438005685544</v>
      </c>
      <c r="E1199" s="1"/>
      <c r="F1199" s="1"/>
      <c r="G1199" s="1"/>
      <c r="H1199" s="1"/>
    </row>
    <row r="1200" spans="2:8" ht="12.75">
      <c r="B1200" s="15" t="s">
        <v>14</v>
      </c>
      <c r="C1200" s="9">
        <f>SUM(C1201:C1203)</f>
        <v>174.05</v>
      </c>
      <c r="D1200" s="9">
        <f>SUM(D1201:D1203)</f>
        <v>6.343392375537576</v>
      </c>
      <c r="E1200" s="1"/>
      <c r="F1200" s="1"/>
      <c r="G1200" s="1"/>
      <c r="H1200" s="1"/>
    </row>
    <row r="1201" spans="2:8" ht="12.75">
      <c r="B1201" s="6" t="s">
        <v>43</v>
      </c>
      <c r="C1201" s="8">
        <f>17.84+24.14</f>
        <v>41.980000000000004</v>
      </c>
      <c r="D1201" s="8">
        <f>C1201/2286.5/12*1000</f>
        <v>1.529994897587288</v>
      </c>
      <c r="E1201" s="1"/>
      <c r="F1201" s="1"/>
      <c r="G1201" s="1"/>
      <c r="H1201" s="1"/>
    </row>
    <row r="1202" spans="2:8" ht="12.75">
      <c r="B1202" s="17" t="s">
        <v>44</v>
      </c>
      <c r="C1202" s="8">
        <v>20.2</v>
      </c>
      <c r="D1202" s="8">
        <f>C1202/2286.5/12*1000</f>
        <v>0.7362052627742547</v>
      </c>
      <c r="E1202" s="1"/>
      <c r="F1202" s="1"/>
      <c r="G1202" s="1"/>
      <c r="H1202" s="1"/>
    </row>
    <row r="1203" spans="2:8" ht="12.75">
      <c r="B1203" s="6" t="s">
        <v>16</v>
      </c>
      <c r="C1203" s="8">
        <v>111.87</v>
      </c>
      <c r="D1203" s="8">
        <f>C1203/2286.5/12*1000</f>
        <v>4.077192215176034</v>
      </c>
      <c r="E1203" s="1"/>
      <c r="F1203" s="1"/>
      <c r="G1203" s="1"/>
      <c r="H1203" s="1"/>
    </row>
    <row r="1204" spans="2:8" ht="12.75">
      <c r="B1204" s="10" t="s">
        <v>19</v>
      </c>
      <c r="C1204" s="22">
        <f>SUM(C1205:C1210)</f>
        <v>55.41</v>
      </c>
      <c r="D1204" s="22">
        <f>SUM(D1205:D1210)</f>
        <v>2.0194620599169033</v>
      </c>
      <c r="E1204" s="1"/>
      <c r="F1204" s="1"/>
      <c r="G1204" s="1"/>
      <c r="H1204" s="1"/>
    </row>
    <row r="1205" spans="2:8" ht="12.75">
      <c r="B1205" s="6" t="s">
        <v>45</v>
      </c>
      <c r="C1205" s="8">
        <f>35.54+7.18+3.6</f>
        <v>46.32</v>
      </c>
      <c r="D1205" s="8">
        <f>C1205/2286.5/12*1000</f>
        <v>1.688169691668489</v>
      </c>
      <c r="E1205" s="1"/>
      <c r="F1205" s="1"/>
      <c r="G1205" s="1"/>
      <c r="H1205" s="1"/>
    </row>
    <row r="1206" spans="2:8" ht="12.75">
      <c r="B1206" s="6" t="s">
        <v>46</v>
      </c>
      <c r="C1206" s="8">
        <v>0</v>
      </c>
      <c r="D1206" s="8">
        <f>C1206/2286.5/12*1000</f>
        <v>0</v>
      </c>
      <c r="E1206" s="1"/>
      <c r="F1206" s="1"/>
      <c r="G1206" s="1"/>
      <c r="H1206" s="1"/>
    </row>
    <row r="1207" spans="2:8" ht="12.75">
      <c r="B1207" s="20" t="s">
        <v>47</v>
      </c>
      <c r="C1207" s="8">
        <v>1.38</v>
      </c>
      <c r="D1207" s="8">
        <f>C1207/2286.5/12*1000</f>
        <v>0.05029521102121145</v>
      </c>
      <c r="E1207" s="1"/>
      <c r="F1207" s="1"/>
      <c r="G1207" s="1"/>
      <c r="H1207" s="1"/>
    </row>
    <row r="1208" spans="2:8" ht="12.75">
      <c r="B1208" s="8" t="s">
        <v>48</v>
      </c>
      <c r="C1208" s="8">
        <v>6.37</v>
      </c>
      <c r="D1208" s="8">
        <f>C1208/2286.5/12*1000</f>
        <v>0.23215977840950508</v>
      </c>
      <c r="E1208" s="1"/>
      <c r="F1208" s="1"/>
      <c r="G1208" s="1"/>
      <c r="H1208" s="1"/>
    </row>
    <row r="1209" spans="2:8" ht="12.75">
      <c r="B1209" s="8" t="s">
        <v>49</v>
      </c>
      <c r="C1209" s="8">
        <v>0</v>
      </c>
      <c r="D1209" s="8">
        <f>C1209/2286.5/12*1000</f>
        <v>0</v>
      </c>
      <c r="E1209" s="1"/>
      <c r="F1209" s="1"/>
      <c r="G1209" s="1"/>
      <c r="H1209" s="1"/>
    </row>
    <row r="1210" spans="2:8" ht="12.75">
      <c r="B1210" s="8" t="s">
        <v>50</v>
      </c>
      <c r="C1210" s="8">
        <v>1.34</v>
      </c>
      <c r="D1210" s="8">
        <f>C1210/2286.5/12*1000</f>
        <v>0.048837378817698084</v>
      </c>
      <c r="E1210" s="1"/>
      <c r="F1210" s="1"/>
      <c r="G1210" s="1"/>
      <c r="H1210" s="1"/>
    </row>
    <row r="1211" spans="2:8" ht="12.75">
      <c r="B1211" s="14" t="s">
        <v>27</v>
      </c>
      <c r="C1211" s="14">
        <f>34.11+5.33</f>
        <v>39.44</v>
      </c>
      <c r="D1211" s="14">
        <f>C1211/2286.5/12*1000</f>
        <v>1.4374225526641884</v>
      </c>
      <c r="E1211" s="1"/>
      <c r="F1211" s="1"/>
      <c r="G1211" s="1"/>
      <c r="H1211" s="1"/>
    </row>
    <row r="1212" spans="2:8" ht="12.75">
      <c r="B1212" s="14"/>
      <c r="C1212" s="14"/>
      <c r="D1212" s="8">
        <f>C1212/2286.5/12*1000</f>
        <v>0</v>
      </c>
      <c r="E1212" s="1"/>
      <c r="F1212" s="1"/>
      <c r="G1212" s="1"/>
      <c r="H1212" s="1"/>
    </row>
    <row r="1213" spans="2:8" ht="12.75">
      <c r="B1213" s="14" t="s">
        <v>29</v>
      </c>
      <c r="C1213" s="14">
        <f>C1199+C1200+C1204+C1211+C1212</f>
        <v>315.79</v>
      </c>
      <c r="D1213" s="14">
        <f>D1199+D1200+D1204+D1211+D1212</f>
        <v>11.509220788687223</v>
      </c>
      <c r="E1213" s="1"/>
      <c r="F1213" s="1"/>
      <c r="G1213" s="1"/>
      <c r="H1213" s="1"/>
    </row>
    <row r="1214" spans="2:8" ht="12.75">
      <c r="B1214" s="8" t="s">
        <v>51</v>
      </c>
      <c r="C1214" s="8">
        <v>31.58</v>
      </c>
      <c r="D1214" s="8">
        <f>C1214/2286.5/12*1000</f>
        <v>1.1509585246738099</v>
      </c>
      <c r="E1214" s="1"/>
      <c r="F1214" s="1"/>
      <c r="G1214" s="1"/>
      <c r="H1214" s="1"/>
    </row>
    <row r="1215" spans="2:8" ht="12.75">
      <c r="B1215" s="14" t="s">
        <v>31</v>
      </c>
      <c r="C1215" s="23">
        <f>C1213+C1214</f>
        <v>347.37</v>
      </c>
      <c r="D1215" s="23">
        <f>D1213+D1214</f>
        <v>12.660179313361033</v>
      </c>
      <c r="E1215" s="1"/>
      <c r="F1215" s="1"/>
      <c r="G1215" s="1"/>
      <c r="H1215" s="1"/>
    </row>
    <row r="1216" spans="2:8" ht="12.75">
      <c r="B1216" s="6" t="s">
        <v>34</v>
      </c>
      <c r="C1216" s="23">
        <f>C1215/C1198/12*1000</f>
        <v>12.660179313361033</v>
      </c>
      <c r="D1216" s="8"/>
      <c r="E1216" s="1"/>
      <c r="F1216" s="1"/>
      <c r="G1216" s="1"/>
      <c r="H1216" s="1"/>
    </row>
    <row r="1217" spans="2:8" ht="12.75">
      <c r="B1217" s="1"/>
      <c r="C1217" s="1"/>
      <c r="D1217" s="1"/>
      <c r="E1217" s="1"/>
      <c r="F1217" s="1"/>
      <c r="G1217" s="1"/>
      <c r="H1217" s="1"/>
    </row>
    <row r="1218" spans="2:8" ht="12.75">
      <c r="B1218" s="1" t="s">
        <v>52</v>
      </c>
      <c r="C1218" s="1"/>
      <c r="D1218" s="1"/>
      <c r="E1218" s="1"/>
      <c r="F1218" s="1"/>
      <c r="G1218" s="1"/>
      <c r="H1218" s="1"/>
    </row>
    <row r="1219" spans="2:8" ht="12.75">
      <c r="B1219" s="1"/>
      <c r="C1219" s="1"/>
      <c r="D1219" s="1"/>
      <c r="E1219" s="1"/>
      <c r="F1219" s="1"/>
      <c r="G1219" s="1"/>
      <c r="H1219" s="1"/>
    </row>
    <row r="1220" spans="2:12" ht="12.75">
      <c r="B1220" s="2" t="s">
        <v>0</v>
      </c>
      <c r="C1220" s="2"/>
      <c r="D1220" s="2"/>
      <c r="E1220" s="1"/>
      <c r="F1220" s="1"/>
      <c r="G1220" s="1"/>
      <c r="H1220" s="1"/>
      <c r="J1220" s="2"/>
      <c r="K1220" s="2"/>
      <c r="L1220" s="2"/>
    </row>
    <row r="1221" spans="2:12" ht="12.75">
      <c r="B1221" s="2" t="s">
        <v>65</v>
      </c>
      <c r="C1221" s="2"/>
      <c r="D1221" s="2"/>
      <c r="E1221" s="1"/>
      <c r="F1221" s="1"/>
      <c r="G1221" s="1"/>
      <c r="H1221" s="1"/>
      <c r="J1221" s="2"/>
      <c r="K1221" s="2"/>
      <c r="L1221" s="2"/>
    </row>
    <row r="1222" spans="2:12" ht="12.75">
      <c r="B1222" s="2" t="s">
        <v>114</v>
      </c>
      <c r="C1222" s="2"/>
      <c r="D1222" s="2"/>
      <c r="E1222" s="1"/>
      <c r="F1222" s="1"/>
      <c r="G1222" s="1"/>
      <c r="H1222" s="1"/>
      <c r="J1222" s="2"/>
      <c r="K1222" s="2"/>
      <c r="L1222" s="2"/>
    </row>
    <row r="1223" spans="2:12" ht="12.75">
      <c r="B1223" s="3"/>
      <c r="C1223" s="3"/>
      <c r="D1223" s="1"/>
      <c r="E1223" s="1"/>
      <c r="F1223" s="1"/>
      <c r="G1223" s="1"/>
      <c r="H1223" s="1"/>
      <c r="J1223" s="3"/>
      <c r="K1223" s="3"/>
      <c r="L1223" s="1"/>
    </row>
    <row r="1224" spans="2:12" ht="12.75">
      <c r="B1224" s="5" t="s">
        <v>4</v>
      </c>
      <c r="C1224" s="6" t="s">
        <v>63</v>
      </c>
      <c r="D1224" s="6" t="s">
        <v>41</v>
      </c>
      <c r="E1224" s="1"/>
      <c r="F1224" s="1"/>
      <c r="G1224" s="1"/>
      <c r="H1224" s="1"/>
      <c r="J1224" s="29"/>
      <c r="K1224" s="35"/>
      <c r="L1224" s="27"/>
    </row>
    <row r="1225" spans="2:12" ht="12.75">
      <c r="B1225" s="6"/>
      <c r="C1225" s="6"/>
      <c r="D1225" s="7"/>
      <c r="E1225" s="1"/>
      <c r="F1225" s="1"/>
      <c r="G1225" s="1"/>
      <c r="H1225" s="1"/>
      <c r="J1225" s="27"/>
      <c r="K1225" s="27"/>
      <c r="L1225" s="34"/>
    </row>
    <row r="1226" spans="2:12" ht="12.75">
      <c r="B1226" s="10" t="s">
        <v>42</v>
      </c>
      <c r="C1226" s="8">
        <v>3225.7</v>
      </c>
      <c r="D1226" s="8"/>
      <c r="E1226" s="1"/>
      <c r="F1226" s="1"/>
      <c r="G1226" s="1"/>
      <c r="H1226" s="1"/>
      <c r="J1226" s="40"/>
      <c r="K1226" s="36"/>
      <c r="L1226" s="36"/>
    </row>
    <row r="1227" spans="2:12" ht="12.75">
      <c r="B1227" s="11" t="s">
        <v>13</v>
      </c>
      <c r="C1227" s="30">
        <v>64.45</v>
      </c>
      <c r="D1227" s="8">
        <f>C1227/3225.7/12*1000</f>
        <v>1.6650132787715328</v>
      </c>
      <c r="E1227" s="1"/>
      <c r="F1227" s="1"/>
      <c r="G1227" s="1"/>
      <c r="H1227" s="1"/>
      <c r="J1227" s="41"/>
      <c r="K1227" s="30"/>
      <c r="L1227" s="36"/>
    </row>
    <row r="1228" spans="2:12" ht="12.75">
      <c r="B1228" s="15" t="s">
        <v>14</v>
      </c>
      <c r="C1228" s="9">
        <f>SUM(C1229:C1231)</f>
        <v>243.42</v>
      </c>
      <c r="D1228" s="9">
        <f>SUM(D1229:D1231)</f>
        <v>6.288557522398238</v>
      </c>
      <c r="E1228" s="1"/>
      <c r="F1228" s="1"/>
      <c r="G1228" s="1"/>
      <c r="H1228" s="1"/>
      <c r="J1228" s="42"/>
      <c r="K1228" s="2"/>
      <c r="L1228" s="2"/>
    </row>
    <row r="1229" spans="2:12" ht="12.75">
      <c r="B1229" s="6" t="s">
        <v>59</v>
      </c>
      <c r="C1229" s="8">
        <f>25.16+34.06</f>
        <v>59.22</v>
      </c>
      <c r="D1229" s="8">
        <f>C1229/3225.7/12*1000</f>
        <v>1.5299004867160617</v>
      </c>
      <c r="E1229" s="1"/>
      <c r="F1229" s="1"/>
      <c r="G1229" s="1"/>
      <c r="H1229" s="1"/>
      <c r="J1229" s="27"/>
      <c r="K1229" s="36"/>
      <c r="L1229" s="36"/>
    </row>
    <row r="1230" spans="2:12" ht="12.75">
      <c r="B1230" s="17" t="s">
        <v>44</v>
      </c>
      <c r="C1230" s="8">
        <v>28.5</v>
      </c>
      <c r="D1230" s="8">
        <f>C1230/3225.7/12*1000</f>
        <v>0.7362742970518027</v>
      </c>
      <c r="E1230" s="1"/>
      <c r="F1230" s="1"/>
      <c r="G1230" s="1"/>
      <c r="H1230" s="1"/>
      <c r="J1230" s="43"/>
      <c r="K1230" s="36"/>
      <c r="L1230" s="36"/>
    </row>
    <row r="1231" spans="2:12" ht="12.75">
      <c r="B1231" s="6" t="s">
        <v>16</v>
      </c>
      <c r="C1231" s="8">
        <v>155.7</v>
      </c>
      <c r="D1231" s="8">
        <f>C1231/3225.7/12*1000</f>
        <v>4.022382738630374</v>
      </c>
      <c r="E1231" s="1"/>
      <c r="F1231" s="1"/>
      <c r="G1231" s="1"/>
      <c r="H1231" s="1"/>
      <c r="J1231" s="27"/>
      <c r="K1231" s="36"/>
      <c r="L1231" s="36"/>
    </row>
    <row r="1232" spans="2:12" ht="12.75">
      <c r="B1232" s="10" t="s">
        <v>19</v>
      </c>
      <c r="C1232" s="22">
        <f>SUM(C1233:C1238)</f>
        <v>82.17999999999999</v>
      </c>
      <c r="D1232" s="22">
        <f>SUM(D1233:D1238)</f>
        <v>2.123053394095338</v>
      </c>
      <c r="E1232" s="1"/>
      <c r="F1232" s="1"/>
      <c r="G1232" s="1"/>
      <c r="H1232" s="1"/>
      <c r="J1232" s="40"/>
      <c r="K1232" s="37"/>
      <c r="L1232" s="37"/>
    </row>
    <row r="1233" spans="2:12" ht="12.75">
      <c r="B1233" s="6" t="s">
        <v>45</v>
      </c>
      <c r="C1233" s="8">
        <f>54.81+11.07+5.55</f>
        <v>71.42999999999999</v>
      </c>
      <c r="D1233" s="8">
        <f>C1233/3225.7/12*1000</f>
        <v>1.8453358960845705</v>
      </c>
      <c r="E1233" s="1"/>
      <c r="F1233" s="1"/>
      <c r="G1233" s="1"/>
      <c r="H1233" s="1"/>
      <c r="J1233" s="27"/>
      <c r="K1233" s="36"/>
      <c r="L1233" s="36"/>
    </row>
    <row r="1234" spans="2:12" ht="12.75">
      <c r="B1234" s="6" t="s">
        <v>46</v>
      </c>
      <c r="C1234" s="8">
        <v>0</v>
      </c>
      <c r="D1234" s="8">
        <f>C1234/3225.7/12*1000</f>
        <v>0</v>
      </c>
      <c r="E1234" s="1"/>
      <c r="F1234" s="1"/>
      <c r="G1234" s="1"/>
      <c r="H1234" s="1"/>
      <c r="J1234" s="27"/>
      <c r="K1234" s="36"/>
      <c r="L1234" s="36"/>
    </row>
    <row r="1235" spans="2:12" ht="12.75">
      <c r="B1235" s="20" t="s">
        <v>47</v>
      </c>
      <c r="C1235" s="8">
        <v>0.62</v>
      </c>
      <c r="D1235" s="8">
        <f>C1235/3225.7/12*1000</f>
        <v>0.016017195234109393</v>
      </c>
      <c r="E1235" s="1"/>
      <c r="F1235" s="1"/>
      <c r="G1235" s="1"/>
      <c r="H1235" s="1"/>
      <c r="J1235" s="44"/>
      <c r="K1235" s="36"/>
      <c r="L1235" s="36"/>
    </row>
    <row r="1236" spans="2:12" ht="12.75">
      <c r="B1236" s="8" t="s">
        <v>48</v>
      </c>
      <c r="C1236" s="8">
        <v>8.49</v>
      </c>
      <c r="D1236" s="8">
        <f>C1236/3225.7/12*1000</f>
        <v>0.21933223796385284</v>
      </c>
      <c r="E1236" s="1"/>
      <c r="F1236" s="1"/>
      <c r="G1236" s="1"/>
      <c r="H1236" s="1"/>
      <c r="J1236" s="36"/>
      <c r="K1236" s="36"/>
      <c r="L1236" s="36"/>
    </row>
    <row r="1237" spans="2:12" ht="12.75">
      <c r="B1237" s="8" t="s">
        <v>49</v>
      </c>
      <c r="C1237" s="8">
        <v>0</v>
      </c>
      <c r="D1237" s="8">
        <f>C1237/3225.7/12*1000</f>
        <v>0</v>
      </c>
      <c r="E1237" s="1"/>
      <c r="F1237" s="1"/>
      <c r="G1237" s="1"/>
      <c r="H1237" s="1"/>
      <c r="J1237" s="36"/>
      <c r="K1237" s="36"/>
      <c r="L1237" s="36"/>
    </row>
    <row r="1238" spans="2:12" ht="12.75">
      <c r="B1238" s="8" t="s">
        <v>50</v>
      </c>
      <c r="C1238" s="8">
        <v>1.64</v>
      </c>
      <c r="D1238" s="8">
        <f>C1238/3225.7/12*1000</f>
        <v>0.0423680648128055</v>
      </c>
      <c r="E1238" s="1"/>
      <c r="F1238" s="1"/>
      <c r="G1238" s="1"/>
      <c r="H1238" s="1"/>
      <c r="J1238" s="36"/>
      <c r="K1238" s="36"/>
      <c r="L1238" s="36"/>
    </row>
    <row r="1239" spans="2:12" ht="12.75">
      <c r="B1239" s="14" t="s">
        <v>27</v>
      </c>
      <c r="C1239" s="14">
        <f>48.13+7.33</f>
        <v>55.46</v>
      </c>
      <c r="D1239" s="14">
        <f>C1239/3225.7/12*1000</f>
        <v>1.4327639478769465</v>
      </c>
      <c r="E1239" s="1"/>
      <c r="F1239" s="1"/>
      <c r="G1239" s="1"/>
      <c r="H1239" s="1"/>
      <c r="J1239" s="38"/>
      <c r="K1239" s="38"/>
      <c r="L1239" s="38"/>
    </row>
    <row r="1240" spans="2:12" ht="12.75">
      <c r="B1240" s="14"/>
      <c r="C1240" s="14"/>
      <c r="D1240" s="8"/>
      <c r="E1240" s="1"/>
      <c r="F1240" s="1"/>
      <c r="G1240" s="1"/>
      <c r="H1240" s="1"/>
      <c r="J1240" s="38"/>
      <c r="K1240" s="38"/>
      <c r="L1240" s="36"/>
    </row>
    <row r="1241" spans="2:12" ht="12.75">
      <c r="B1241" s="14" t="s">
        <v>29</v>
      </c>
      <c r="C1241" s="14">
        <f>C1227+C1228+C1232+C1239+C1240</f>
        <v>445.51</v>
      </c>
      <c r="D1241" s="14">
        <f>D1227+D1228+D1232+D1239+D1240</f>
        <v>11.509388143142056</v>
      </c>
      <c r="E1241" s="1"/>
      <c r="F1241" s="1"/>
      <c r="G1241" s="1"/>
      <c r="H1241" s="1"/>
      <c r="J1241" s="38"/>
      <c r="K1241" s="38"/>
      <c r="L1241" s="38"/>
    </row>
    <row r="1242" spans="2:12" ht="12.75">
      <c r="B1242" s="8" t="s">
        <v>51</v>
      </c>
      <c r="C1242" s="8">
        <v>44.55</v>
      </c>
      <c r="D1242" s="8">
        <v>1.15</v>
      </c>
      <c r="E1242" s="1"/>
      <c r="F1242" s="1"/>
      <c r="G1242" s="1"/>
      <c r="H1242" s="1"/>
      <c r="J1242" s="36"/>
      <c r="K1242" s="36"/>
      <c r="L1242" s="36"/>
    </row>
    <row r="1243" spans="2:12" ht="12.75">
      <c r="B1243" s="14" t="s">
        <v>31</v>
      </c>
      <c r="C1243" s="23">
        <f>C1241+C1242</f>
        <v>490.06</v>
      </c>
      <c r="D1243" s="23">
        <f>D1241+D1242</f>
        <v>12.659388143142056</v>
      </c>
      <c r="E1243" s="1"/>
      <c r="F1243" s="1"/>
      <c r="G1243" s="1"/>
      <c r="H1243" s="1"/>
      <c r="J1243" s="38"/>
      <c r="K1243" s="45"/>
      <c r="L1243" s="45"/>
    </row>
    <row r="1244" spans="2:12" ht="12.75">
      <c r="B1244" s="6" t="s">
        <v>34</v>
      </c>
      <c r="C1244" s="23">
        <f>C1243/C1226/12*1000</f>
        <v>12.6603011232704</v>
      </c>
      <c r="D1244" s="8"/>
      <c r="E1244" s="1"/>
      <c r="F1244" s="1"/>
      <c r="G1244" s="1"/>
      <c r="H1244" s="1"/>
      <c r="J1244" s="27"/>
      <c r="K1244" s="45"/>
      <c r="L1244" s="36"/>
    </row>
    <row r="1245" spans="2:12" ht="12.75">
      <c r="B1245" s="1"/>
      <c r="C1245" s="1"/>
      <c r="D1245" s="1"/>
      <c r="E1245" s="1"/>
      <c r="F1245" s="1"/>
      <c r="G1245" s="1"/>
      <c r="H1245" s="1"/>
      <c r="J1245" s="1"/>
      <c r="K1245" s="1"/>
      <c r="L1245" s="1"/>
    </row>
    <row r="1246" spans="2:12" ht="12.75">
      <c r="B1246" s="1" t="s">
        <v>52</v>
      </c>
      <c r="C1246" s="1"/>
      <c r="D1246" s="1"/>
      <c r="E1246" s="1"/>
      <c r="F1246" s="1"/>
      <c r="G1246" s="1"/>
      <c r="H1246" s="1"/>
      <c r="J1246" s="1"/>
      <c r="K1246" s="1"/>
      <c r="L1246" s="1"/>
    </row>
    <row r="1247" spans="2:8" ht="12.75">
      <c r="B1247" s="1"/>
      <c r="C1247" s="1"/>
      <c r="D1247" s="1"/>
      <c r="E1247" s="1"/>
      <c r="F1247" s="1"/>
      <c r="G1247" s="1"/>
      <c r="H1247" s="1"/>
    </row>
    <row r="1248" spans="2:8" ht="12.75">
      <c r="B1248" s="2" t="s">
        <v>0</v>
      </c>
      <c r="C1248" s="2"/>
      <c r="D1248" s="2"/>
      <c r="E1248" s="1"/>
      <c r="F1248" s="1"/>
      <c r="G1248" s="1"/>
      <c r="H1248" s="1"/>
    </row>
    <row r="1249" spans="2:8" ht="12.75">
      <c r="B1249" s="2" t="s">
        <v>65</v>
      </c>
      <c r="C1249" s="2"/>
      <c r="D1249" s="2"/>
      <c r="E1249" s="1"/>
      <c r="F1249" s="1"/>
      <c r="G1249" s="1"/>
      <c r="H1249" s="1"/>
    </row>
    <row r="1250" spans="2:8" ht="12.75">
      <c r="B1250" s="2" t="s">
        <v>115</v>
      </c>
      <c r="C1250" s="2"/>
      <c r="D1250" s="2"/>
      <c r="E1250" s="1"/>
      <c r="F1250" s="1"/>
      <c r="G1250" s="1"/>
      <c r="H1250" s="1"/>
    </row>
    <row r="1251" spans="2:8" ht="12.75">
      <c r="B1251" s="3"/>
      <c r="C1251" s="3"/>
      <c r="D1251" s="1"/>
      <c r="E1251" s="1"/>
      <c r="F1251" s="1"/>
      <c r="G1251" s="1"/>
      <c r="H1251" s="1"/>
    </row>
    <row r="1252" spans="2:8" ht="12.75">
      <c r="B1252" s="5" t="s">
        <v>4</v>
      </c>
      <c r="C1252" s="31" t="s">
        <v>40</v>
      </c>
      <c r="D1252" s="6" t="s">
        <v>41</v>
      </c>
      <c r="E1252" s="1"/>
      <c r="F1252" s="1"/>
      <c r="G1252" s="1"/>
      <c r="H1252" s="1"/>
    </row>
    <row r="1253" spans="2:8" ht="12.75">
      <c r="B1253" s="6"/>
      <c r="C1253" s="6"/>
      <c r="D1253" s="7"/>
      <c r="E1253" s="1"/>
      <c r="F1253" s="1"/>
      <c r="G1253" s="1"/>
      <c r="H1253" s="1"/>
    </row>
    <row r="1254" spans="2:8" ht="12.75">
      <c r="B1254" s="10" t="s">
        <v>42</v>
      </c>
      <c r="C1254" s="8">
        <v>1775.5</v>
      </c>
      <c r="D1254" s="8"/>
      <c r="E1254" s="1"/>
      <c r="F1254" s="1"/>
      <c r="G1254" s="1"/>
      <c r="H1254" s="1"/>
    </row>
    <row r="1255" spans="2:8" ht="12.75">
      <c r="B1255" s="11" t="s">
        <v>13</v>
      </c>
      <c r="C1255" s="32">
        <v>36.41</v>
      </c>
      <c r="D1255" s="14">
        <f>C1255/1775.5/12*1000</f>
        <v>1.7089082887449543</v>
      </c>
      <c r="E1255" s="1"/>
      <c r="F1255" s="1"/>
      <c r="G1255" s="1"/>
      <c r="H1255" s="1"/>
    </row>
    <row r="1256" spans="2:8" ht="12.75">
      <c r="B1256" s="15" t="s">
        <v>14</v>
      </c>
      <c r="C1256" s="9">
        <f>SUM(C1257:C1259)</f>
        <v>123.26999999999998</v>
      </c>
      <c r="D1256" s="9">
        <f>SUM(D1257:D1259)</f>
        <v>5.7856941706561535</v>
      </c>
      <c r="E1256" s="1"/>
      <c r="F1256" s="1"/>
      <c r="G1256" s="1"/>
      <c r="H1256" s="1"/>
    </row>
    <row r="1257" spans="2:8" ht="12.75">
      <c r="B1257" s="6" t="s">
        <v>43</v>
      </c>
      <c r="C1257" s="8">
        <f>13.85+18.75</f>
        <v>32.6</v>
      </c>
      <c r="D1257" s="8">
        <f>C1257/1775.5/12*1000</f>
        <v>1.5300854219468694</v>
      </c>
      <c r="E1257" s="1"/>
      <c r="F1257" s="1"/>
      <c r="G1257" s="1"/>
      <c r="H1257" s="1"/>
    </row>
    <row r="1258" spans="2:8" ht="12.75">
      <c r="B1258" s="17" t="s">
        <v>44</v>
      </c>
      <c r="C1258" s="8">
        <v>15.68</v>
      </c>
      <c r="D1258" s="8">
        <f>C1258/1775.5/12*1000</f>
        <v>0.7359429268750587</v>
      </c>
      <c r="E1258" s="1"/>
      <c r="F1258" s="1"/>
      <c r="G1258" s="1"/>
      <c r="H1258" s="1"/>
    </row>
    <row r="1259" spans="2:8" ht="12.75">
      <c r="B1259" s="6" t="s">
        <v>16</v>
      </c>
      <c r="C1259" s="8">
        <v>74.99</v>
      </c>
      <c r="D1259" s="8">
        <f>C1259/1775.5/12*1000</f>
        <v>3.5196658218342254</v>
      </c>
      <c r="E1259" s="1"/>
      <c r="F1259" s="1"/>
      <c r="G1259" s="1"/>
      <c r="H1259" s="1"/>
    </row>
    <row r="1260" spans="2:8" ht="12.75">
      <c r="B1260" s="10" t="s">
        <v>19</v>
      </c>
      <c r="C1260" s="22">
        <f>SUM(C1261:C1265)</f>
        <v>54.89</v>
      </c>
      <c r="D1260" s="22">
        <f>SUM(D1261:D1265)</f>
        <v>2.576269595419131</v>
      </c>
      <c r="E1260" s="1"/>
      <c r="F1260" s="1"/>
      <c r="G1260" s="1"/>
      <c r="H1260" s="1"/>
    </row>
    <row r="1261" spans="2:8" ht="12.75">
      <c r="B1261" s="6" t="s">
        <v>45</v>
      </c>
      <c r="C1261" s="8">
        <f>38.24+7.72+3.87</f>
        <v>49.83</v>
      </c>
      <c r="D1261" s="8">
        <f>C1261/1775.5/12*1000</f>
        <v>2.338777809067868</v>
      </c>
      <c r="E1261" s="1"/>
      <c r="F1261" s="1"/>
      <c r="G1261" s="1"/>
      <c r="H1261" s="1"/>
    </row>
    <row r="1262" spans="2:8" ht="12.75">
      <c r="B1262" s="6" t="s">
        <v>46</v>
      </c>
      <c r="C1262" s="8">
        <v>0</v>
      </c>
      <c r="D1262" s="8">
        <f>C1262/1775.5/12*1000</f>
        <v>0</v>
      </c>
      <c r="E1262" s="1"/>
      <c r="F1262" s="1"/>
      <c r="G1262" s="1"/>
      <c r="H1262" s="1"/>
    </row>
    <row r="1263" spans="2:8" ht="12.75">
      <c r="B1263" s="20" t="s">
        <v>47</v>
      </c>
      <c r="C1263" s="8">
        <v>0.31</v>
      </c>
      <c r="D1263" s="8">
        <f>C1263/1775.5/12*1000</f>
        <v>0.014549892049188022</v>
      </c>
      <c r="E1263" s="1"/>
      <c r="F1263" s="1"/>
      <c r="G1263" s="1"/>
      <c r="H1263" s="1"/>
    </row>
    <row r="1264" spans="2:8" ht="12.75">
      <c r="B1264" s="8" t="s">
        <v>48</v>
      </c>
      <c r="C1264" s="8">
        <v>3.98</v>
      </c>
      <c r="D1264" s="8">
        <f>C1264/1775.5/12*1000</f>
        <v>0.1868018398573172</v>
      </c>
      <c r="E1264" s="1"/>
      <c r="F1264" s="1"/>
      <c r="G1264" s="1"/>
      <c r="H1264" s="1"/>
    </row>
    <row r="1265" spans="2:8" ht="12.75">
      <c r="B1265" s="8" t="s">
        <v>50</v>
      </c>
      <c r="C1265" s="8">
        <v>0.77</v>
      </c>
      <c r="D1265" s="8">
        <f>C1265/1775.5/12*1000</f>
        <v>0.03614005444475735</v>
      </c>
      <c r="E1265" s="1"/>
      <c r="F1265" s="1"/>
      <c r="G1265" s="1"/>
      <c r="H1265" s="1"/>
    </row>
    <row r="1266" spans="2:8" ht="12.75">
      <c r="B1266" s="14" t="s">
        <v>27</v>
      </c>
      <c r="C1266" s="14">
        <f>26.49+4.14</f>
        <v>30.63</v>
      </c>
      <c r="D1266" s="14">
        <f>C1266/1775.5/12*1000</f>
        <v>1.4376232047310615</v>
      </c>
      <c r="E1266" s="1"/>
      <c r="F1266" s="1"/>
      <c r="G1266" s="1"/>
      <c r="H1266" s="1"/>
    </row>
    <row r="1267" spans="2:8" ht="12.75">
      <c r="B1267" s="14"/>
      <c r="C1267" s="14"/>
      <c r="D1267" s="8"/>
      <c r="E1267" s="1"/>
      <c r="F1267" s="1"/>
      <c r="G1267" s="1"/>
      <c r="H1267" s="1"/>
    </row>
    <row r="1268" spans="2:8" ht="12.75">
      <c r="B1268" s="14" t="s">
        <v>29</v>
      </c>
      <c r="C1268" s="14">
        <f>C1255+C1256+C1260+C1266+C1267</f>
        <v>245.2</v>
      </c>
      <c r="D1268" s="14">
        <f>D1255+D1256+D1260+D1266+D1267</f>
        <v>11.5084952595513</v>
      </c>
      <c r="E1268" s="1"/>
      <c r="F1268" s="1"/>
      <c r="G1268" s="1"/>
      <c r="H1268" s="1"/>
    </row>
    <row r="1269" spans="2:8" ht="12.75">
      <c r="B1269" s="8" t="s">
        <v>51</v>
      </c>
      <c r="C1269" s="8">
        <v>24.52</v>
      </c>
      <c r="D1269" s="8">
        <f>C1269/1775.5/12*1000</f>
        <v>1.15084952595513</v>
      </c>
      <c r="E1269" s="1"/>
      <c r="F1269" s="1"/>
      <c r="G1269" s="1"/>
      <c r="H1269" s="1"/>
    </row>
    <row r="1270" spans="2:8" ht="12.75">
      <c r="B1270" s="14" t="s">
        <v>31</v>
      </c>
      <c r="C1270" s="23">
        <f>C1268+C1269</f>
        <v>269.71999999999997</v>
      </c>
      <c r="D1270" s="23">
        <f>D1268+D1269</f>
        <v>12.659344785506429</v>
      </c>
      <c r="E1270" s="1"/>
      <c r="F1270" s="1"/>
      <c r="G1270" s="1"/>
      <c r="H1270" s="1"/>
    </row>
    <row r="1271" spans="2:8" ht="12.75">
      <c r="B1271" s="6" t="s">
        <v>34</v>
      </c>
      <c r="C1271" s="23">
        <f>C1270/C1254/12*1000</f>
        <v>12.659344785506429</v>
      </c>
      <c r="D1271" s="8"/>
      <c r="E1271" s="1"/>
      <c r="F1271" s="1"/>
      <c r="G1271" s="1"/>
      <c r="H1271" s="1"/>
    </row>
    <row r="1272" spans="2:8" ht="12.75">
      <c r="B1272" s="1"/>
      <c r="C1272" s="1"/>
      <c r="D1272" s="1"/>
      <c r="E1272" s="1"/>
      <c r="F1272" s="1"/>
      <c r="G1272" s="1"/>
      <c r="H1272" s="1"/>
    </row>
    <row r="1273" spans="2:8" ht="12.75">
      <c r="B1273" s="1" t="s">
        <v>52</v>
      </c>
      <c r="C1273" s="1"/>
      <c r="D1273" s="1"/>
      <c r="E1273" s="1"/>
      <c r="F1273" s="1"/>
      <c r="G1273" s="1"/>
      <c r="H1273" s="1"/>
    </row>
    <row r="1274" spans="2:8" ht="12.75">
      <c r="B1274" s="1"/>
      <c r="C1274" s="1"/>
      <c r="D1274" s="1"/>
      <c r="E1274" s="1"/>
      <c r="F1274" s="1"/>
      <c r="G1274" s="1"/>
      <c r="H1274" s="1"/>
    </row>
    <row r="1275" spans="2:8" ht="12.75">
      <c r="B1275" s="2" t="s">
        <v>0</v>
      </c>
      <c r="C1275" s="2"/>
      <c r="D1275" s="2"/>
      <c r="E1275" s="1"/>
      <c r="F1275" s="1"/>
      <c r="G1275" s="1"/>
      <c r="H1275" s="1"/>
    </row>
    <row r="1276" spans="2:8" ht="12.75">
      <c r="B1276" s="2" t="s">
        <v>65</v>
      </c>
      <c r="C1276" s="2"/>
      <c r="D1276" s="2"/>
      <c r="E1276" s="1"/>
      <c r="F1276" s="1"/>
      <c r="G1276" s="1"/>
      <c r="H1276" s="1"/>
    </row>
    <row r="1277" spans="2:8" ht="12.75">
      <c r="B1277" s="2" t="s">
        <v>116</v>
      </c>
      <c r="C1277" s="2"/>
      <c r="D1277" s="2"/>
      <c r="E1277" s="1"/>
      <c r="F1277" s="1"/>
      <c r="G1277" s="1"/>
      <c r="H1277" s="1"/>
    </row>
    <row r="1278" spans="2:8" ht="12.75">
      <c r="B1278" s="3"/>
      <c r="C1278" s="3"/>
      <c r="D1278" s="1"/>
      <c r="E1278" s="1"/>
      <c r="F1278" s="1"/>
      <c r="G1278" s="1"/>
      <c r="H1278" s="1"/>
    </row>
    <row r="1279" spans="2:8" ht="12.75">
      <c r="B1279" s="5" t="s">
        <v>4</v>
      </c>
      <c r="C1279" s="31" t="s">
        <v>40</v>
      </c>
      <c r="D1279" s="6" t="s">
        <v>41</v>
      </c>
      <c r="E1279" s="1"/>
      <c r="F1279" s="1"/>
      <c r="G1279" s="1"/>
      <c r="H1279" s="1"/>
    </row>
    <row r="1280" spans="2:8" ht="12.75">
      <c r="B1280" s="6"/>
      <c r="C1280" s="6"/>
      <c r="D1280" s="7"/>
      <c r="E1280" s="1"/>
      <c r="F1280" s="1"/>
      <c r="G1280" s="1"/>
      <c r="H1280" s="1"/>
    </row>
    <row r="1281" spans="2:8" ht="12.75">
      <c r="B1281" s="10" t="s">
        <v>42</v>
      </c>
      <c r="C1281" s="8">
        <v>2004.9</v>
      </c>
      <c r="D1281" s="8"/>
      <c r="E1281" s="1"/>
      <c r="F1281" s="1"/>
      <c r="G1281" s="1"/>
      <c r="H1281" s="1"/>
    </row>
    <row r="1282" spans="2:8" ht="12.75">
      <c r="B1282" s="11" t="s">
        <v>13</v>
      </c>
      <c r="C1282" s="32">
        <v>41.12</v>
      </c>
      <c r="D1282" s="14">
        <f>C1282/2004.9/12*1000</f>
        <v>1.7091459258150863</v>
      </c>
      <c r="E1282" s="1"/>
      <c r="F1282" s="1"/>
      <c r="G1282" s="1"/>
      <c r="H1282" s="1"/>
    </row>
    <row r="1283" spans="2:8" ht="12.75">
      <c r="B1283" s="15" t="s">
        <v>14</v>
      </c>
      <c r="C1283" s="9">
        <f>SUM(C1284:C1286)</f>
        <v>115.64</v>
      </c>
      <c r="D1283" s="9">
        <f>SUM(D1284:D1286)</f>
        <v>4.806557268026667</v>
      </c>
      <c r="E1283" s="1"/>
      <c r="F1283" s="1"/>
      <c r="G1283" s="1"/>
      <c r="H1283" s="1"/>
    </row>
    <row r="1284" spans="2:8" ht="12.75">
      <c r="B1284" s="6" t="s">
        <v>43</v>
      </c>
      <c r="C1284" s="8">
        <f>15.64+21.17</f>
        <v>36.81</v>
      </c>
      <c r="D1284" s="8">
        <f>C1284/2004.9/12*1000</f>
        <v>1.5300014963339819</v>
      </c>
      <c r="E1284" s="1"/>
      <c r="F1284" s="1"/>
      <c r="G1284" s="1"/>
      <c r="H1284" s="1"/>
    </row>
    <row r="1285" spans="2:8" ht="12.75">
      <c r="B1285" s="17" t="s">
        <v>44</v>
      </c>
      <c r="C1285" s="8">
        <v>17.71</v>
      </c>
      <c r="D1285" s="8">
        <f>C1285/2004.9/12*1000</f>
        <v>0.7361131893527524</v>
      </c>
      <c r="E1285" s="1"/>
      <c r="F1285" s="1"/>
      <c r="G1285" s="1"/>
      <c r="H1285" s="1"/>
    </row>
    <row r="1286" spans="2:8" ht="12.75">
      <c r="B1286" s="6" t="s">
        <v>16</v>
      </c>
      <c r="C1286" s="8">
        <v>61.12</v>
      </c>
      <c r="D1286" s="8">
        <f>C1286/2004.9/12*1000</f>
        <v>2.5404425823399337</v>
      </c>
      <c r="E1286" s="1"/>
      <c r="F1286" s="1"/>
      <c r="G1286" s="1"/>
      <c r="H1286" s="1"/>
    </row>
    <row r="1287" spans="2:8" ht="12.75">
      <c r="B1287" s="10" t="s">
        <v>19</v>
      </c>
      <c r="C1287" s="22">
        <f>SUM(C1288:C1293)</f>
        <v>85.53</v>
      </c>
      <c r="D1287" s="22">
        <f>SUM(D1288:D1293)</f>
        <v>3.5550401516285097</v>
      </c>
      <c r="E1287" s="1"/>
      <c r="F1287" s="1"/>
      <c r="G1287" s="1"/>
      <c r="H1287" s="1"/>
    </row>
    <row r="1288" spans="2:8" ht="12.75">
      <c r="B1288" s="6" t="s">
        <v>45</v>
      </c>
      <c r="C1288" s="8">
        <f>60.9+12.3+6.16</f>
        <v>79.36</v>
      </c>
      <c r="D1288" s="8">
        <f>C1288/2004.9/12*1000</f>
        <v>3.298585133090594</v>
      </c>
      <c r="E1288" s="1"/>
      <c r="F1288" s="1"/>
      <c r="G1288" s="1"/>
      <c r="H1288" s="1"/>
    </row>
    <row r="1289" spans="2:8" ht="12.75">
      <c r="B1289" s="6" t="s">
        <v>46</v>
      </c>
      <c r="C1289" s="8"/>
      <c r="D1289" s="8">
        <f>C1289/2004.9/12*1000</f>
        <v>0</v>
      </c>
      <c r="E1289" s="1"/>
      <c r="F1289" s="1"/>
      <c r="G1289" s="1"/>
      <c r="H1289" s="1"/>
    </row>
    <row r="1290" spans="2:8" ht="27" customHeight="1">
      <c r="B1290" s="20" t="s">
        <v>47</v>
      </c>
      <c r="C1290" s="8">
        <v>0.93</v>
      </c>
      <c r="D1290" s="8">
        <f>C1290/2004.9/12*1000</f>
        <v>0.0386552945284054</v>
      </c>
      <c r="E1290" s="1"/>
      <c r="F1290" s="1"/>
      <c r="G1290" s="1"/>
      <c r="H1290" s="1"/>
    </row>
    <row r="1291" spans="2:8" ht="12.75">
      <c r="B1291" s="8" t="s">
        <v>48</v>
      </c>
      <c r="C1291" s="8">
        <v>4.25</v>
      </c>
      <c r="D1291" s="8">
        <f>C1291/2004.9/12*1000</f>
        <v>0.1766505395115301</v>
      </c>
      <c r="E1291" s="1"/>
      <c r="F1291" s="1"/>
      <c r="G1291" s="1"/>
      <c r="H1291" s="1"/>
    </row>
    <row r="1292" spans="2:8" ht="12.75">
      <c r="B1292" s="8" t="s">
        <v>49</v>
      </c>
      <c r="C1292" s="8">
        <v>0</v>
      </c>
      <c r="D1292" s="8">
        <f>C1292/2004.9/12*1000</f>
        <v>0</v>
      </c>
      <c r="E1292" s="1"/>
      <c r="F1292" s="1"/>
      <c r="G1292" s="1"/>
      <c r="H1292" s="1"/>
    </row>
    <row r="1293" spans="2:8" ht="12.75">
      <c r="B1293" s="8" t="s">
        <v>50</v>
      </c>
      <c r="C1293" s="8">
        <v>0.99</v>
      </c>
      <c r="D1293" s="8">
        <f>C1293/2004.9/12*1000</f>
        <v>0.04114918449797995</v>
      </c>
      <c r="E1293" s="1"/>
      <c r="F1293" s="1"/>
      <c r="G1293" s="1"/>
      <c r="H1293" s="1"/>
    </row>
    <row r="1294" spans="2:8" ht="12.75">
      <c r="B1294" s="14" t="s">
        <v>27</v>
      </c>
      <c r="C1294" s="14">
        <f>29.91+4.67</f>
        <v>34.58</v>
      </c>
      <c r="D1294" s="14">
        <f>C1294/2004.9/12*1000</f>
        <v>1.4373119191314612</v>
      </c>
      <c r="E1294" s="1"/>
      <c r="F1294" s="1"/>
      <c r="G1294" s="1"/>
      <c r="H1294" s="1"/>
    </row>
    <row r="1295" spans="2:8" ht="12.75">
      <c r="B1295" s="14"/>
      <c r="C1295" s="14"/>
      <c r="D1295" s="8"/>
      <c r="E1295" s="1"/>
      <c r="F1295" s="1"/>
      <c r="G1295" s="1"/>
      <c r="H1295" s="1"/>
    </row>
    <row r="1296" spans="2:8" ht="12.75">
      <c r="B1296" s="14" t="s">
        <v>29</v>
      </c>
      <c r="C1296" s="14">
        <f>C1282+C1283+C1287+C1294+C1295</f>
        <v>276.87</v>
      </c>
      <c r="D1296" s="14">
        <f>D1282+D1283+D1287+D1294+D1295</f>
        <v>11.508055264601724</v>
      </c>
      <c r="E1296" s="1"/>
      <c r="F1296" s="1"/>
      <c r="G1296" s="1"/>
      <c r="H1296" s="1"/>
    </row>
    <row r="1297" spans="2:8" ht="12.75">
      <c r="B1297" s="8" t="s">
        <v>51</v>
      </c>
      <c r="C1297" s="8">
        <v>27.69</v>
      </c>
      <c r="D1297" s="8">
        <f>C1297/2004.9/12*1000</f>
        <v>1.1509302209586514</v>
      </c>
      <c r="E1297" s="1"/>
      <c r="F1297" s="1"/>
      <c r="G1297" s="1"/>
      <c r="H1297" s="1"/>
    </row>
    <row r="1298" spans="2:8" ht="12.75">
      <c r="B1298" s="14" t="s">
        <v>31</v>
      </c>
      <c r="C1298" s="23">
        <f>C1296+C1297</f>
        <v>304.56</v>
      </c>
      <c r="D1298" s="23">
        <f>D1296+D1297</f>
        <v>12.658985485560375</v>
      </c>
      <c r="E1298" s="1"/>
      <c r="F1298" s="1"/>
      <c r="G1298" s="1"/>
      <c r="H1298" s="1"/>
    </row>
    <row r="1299" spans="2:8" ht="12.75">
      <c r="B1299" s="6" t="s">
        <v>34</v>
      </c>
      <c r="C1299" s="23">
        <f>C1298/C1281/12*1000</f>
        <v>12.658985485560375</v>
      </c>
      <c r="D1299" s="8"/>
      <c r="E1299" s="1"/>
      <c r="F1299" s="1"/>
      <c r="G1299" s="1"/>
      <c r="H1299" s="1"/>
    </row>
    <row r="1300" spans="2:8" ht="12.75">
      <c r="B1300" s="1"/>
      <c r="C1300" s="1"/>
      <c r="D1300" s="1"/>
      <c r="E1300" s="1"/>
      <c r="F1300" s="1"/>
      <c r="G1300" s="1"/>
      <c r="H1300" s="1"/>
    </row>
    <row r="1301" spans="2:8" ht="12.75">
      <c r="B1301" s="1" t="s">
        <v>52</v>
      </c>
      <c r="C1301" s="1"/>
      <c r="D1301" s="1"/>
      <c r="E1301" s="1"/>
      <c r="F1301" s="1"/>
      <c r="G1301" s="1"/>
      <c r="H1301" s="1"/>
    </row>
    <row r="1302" spans="2:8" ht="12.75">
      <c r="B1302" s="1"/>
      <c r="C1302" s="1"/>
      <c r="D1302" s="1"/>
      <c r="E1302" s="1"/>
      <c r="F1302" s="1"/>
      <c r="G1302" s="1"/>
      <c r="H1302" s="1"/>
    </row>
    <row r="1303" spans="2:8" ht="12.75">
      <c r="B1303" s="2" t="s">
        <v>0</v>
      </c>
      <c r="C1303" s="2"/>
      <c r="D1303" s="2"/>
      <c r="E1303" s="1"/>
      <c r="F1303" s="1"/>
      <c r="G1303" s="1"/>
      <c r="H1303" s="1"/>
    </row>
    <row r="1304" spans="2:8" ht="12.75">
      <c r="B1304" s="2" t="s">
        <v>65</v>
      </c>
      <c r="C1304" s="2"/>
      <c r="D1304" s="2"/>
      <c r="E1304" s="1"/>
      <c r="F1304" s="1"/>
      <c r="G1304" s="1"/>
      <c r="H1304" s="1"/>
    </row>
    <row r="1305" spans="2:8" ht="12.75">
      <c r="B1305" s="2" t="s">
        <v>117</v>
      </c>
      <c r="C1305" s="2"/>
      <c r="D1305" s="2"/>
      <c r="E1305" s="1"/>
      <c r="F1305" s="1"/>
      <c r="G1305" s="1"/>
      <c r="H1305" s="1"/>
    </row>
    <row r="1306" spans="2:8" ht="12.75">
      <c r="B1306" s="3"/>
      <c r="C1306" s="3"/>
      <c r="D1306" s="1"/>
      <c r="E1306" s="1"/>
      <c r="F1306" s="1"/>
      <c r="G1306" s="1"/>
      <c r="H1306" s="1"/>
    </row>
    <row r="1307" spans="2:8" ht="12.75">
      <c r="B1307" s="5" t="s">
        <v>4</v>
      </c>
      <c r="C1307" s="31" t="s">
        <v>40</v>
      </c>
      <c r="D1307" s="6" t="s">
        <v>41</v>
      </c>
      <c r="E1307" s="1"/>
      <c r="F1307" s="1"/>
      <c r="G1307" s="1"/>
      <c r="H1307" s="1"/>
    </row>
    <row r="1308" spans="2:8" ht="12.75">
      <c r="B1308" s="6"/>
      <c r="C1308" s="6"/>
      <c r="D1308" s="7"/>
      <c r="E1308" s="1"/>
      <c r="F1308" s="1"/>
      <c r="G1308" s="1"/>
      <c r="H1308" s="1"/>
    </row>
    <row r="1309" spans="2:8" ht="12.75">
      <c r="B1309" s="10" t="s">
        <v>42</v>
      </c>
      <c r="C1309" s="8">
        <v>2824.9</v>
      </c>
      <c r="D1309" s="8"/>
      <c r="E1309" s="1"/>
      <c r="F1309" s="1"/>
      <c r="G1309" s="1"/>
      <c r="H1309" s="1"/>
    </row>
    <row r="1310" spans="2:8" ht="12.75">
      <c r="B1310" s="11" t="s">
        <v>13</v>
      </c>
      <c r="C1310" s="32">
        <v>57.94</v>
      </c>
      <c r="D1310" s="14">
        <f>C1310/2824.9/12*1000</f>
        <v>1.709205045606334</v>
      </c>
      <c r="E1310" s="1"/>
      <c r="F1310" s="1"/>
      <c r="G1310" s="1"/>
      <c r="H1310" s="1"/>
    </row>
    <row r="1311" spans="2:8" ht="12.75">
      <c r="B1311" s="15" t="s">
        <v>14</v>
      </c>
      <c r="C1311" s="9">
        <f>SUM(C1312:C1314)</f>
        <v>198.84</v>
      </c>
      <c r="D1311" s="9">
        <f>SUM(D1312:D1314)</f>
        <v>5.865694360862331</v>
      </c>
      <c r="E1311" s="1"/>
      <c r="F1311" s="1"/>
      <c r="G1311" s="1"/>
      <c r="H1311" s="1"/>
    </row>
    <row r="1312" spans="2:8" ht="12.75">
      <c r="B1312" s="6" t="s">
        <v>43</v>
      </c>
      <c r="C1312" s="8">
        <f>22.04+29.83</f>
        <v>51.87</v>
      </c>
      <c r="D1312" s="8">
        <f>C1312/2824.9/12*1000</f>
        <v>1.5301426599171652</v>
      </c>
      <c r="E1312" s="1"/>
      <c r="F1312" s="1"/>
      <c r="G1312" s="1"/>
      <c r="H1312" s="1"/>
    </row>
    <row r="1313" spans="2:8" ht="12.75">
      <c r="B1313" s="17" t="s">
        <v>44</v>
      </c>
      <c r="C1313" s="8">
        <v>24.95</v>
      </c>
      <c r="D1313" s="8">
        <f>C1313/2824.9/12*1000</f>
        <v>0.7360142541918887</v>
      </c>
      <c r="E1313" s="1"/>
      <c r="F1313" s="1"/>
      <c r="G1313" s="1"/>
      <c r="H1313" s="1"/>
    </row>
    <row r="1314" spans="2:8" ht="12.75">
      <c r="B1314" s="6" t="s">
        <v>16</v>
      </c>
      <c r="C1314" s="8">
        <v>122.02</v>
      </c>
      <c r="D1314" s="8">
        <f>C1314/2824.9/12*1000</f>
        <v>3.5995374467532772</v>
      </c>
      <c r="E1314" s="1"/>
      <c r="F1314" s="1"/>
      <c r="G1314" s="1"/>
      <c r="H1314" s="1"/>
    </row>
    <row r="1315" spans="2:8" ht="12.75">
      <c r="B1315" s="10" t="s">
        <v>19</v>
      </c>
      <c r="C1315" s="22">
        <f>SUM(C1316:C1320)</f>
        <v>84.63</v>
      </c>
      <c r="D1315" s="22">
        <f>SUM(D1316:D1320)</f>
        <v>2.4965485503911635</v>
      </c>
      <c r="E1315" s="1"/>
      <c r="F1315" s="1"/>
      <c r="G1315" s="1"/>
      <c r="H1315" s="1"/>
    </row>
    <row r="1316" spans="2:8" ht="12.75">
      <c r="B1316" s="6" t="s">
        <v>45</v>
      </c>
      <c r="C1316" s="8">
        <f>56.54+11.42+5.72</f>
        <v>73.67999999999999</v>
      </c>
      <c r="D1316" s="8">
        <f>C1316/2824.9/12*1000</f>
        <v>2.173528266487309</v>
      </c>
      <c r="E1316" s="1"/>
      <c r="F1316" s="1"/>
      <c r="G1316" s="1"/>
      <c r="H1316" s="1"/>
    </row>
    <row r="1317" spans="2:8" ht="12.75">
      <c r="B1317" s="6" t="s">
        <v>46</v>
      </c>
      <c r="C1317" s="8">
        <v>0</v>
      </c>
      <c r="D1317" s="8">
        <f>C1317/2824.9/12*1000</f>
        <v>0</v>
      </c>
      <c r="E1317" s="1"/>
      <c r="F1317" s="1"/>
      <c r="G1317" s="1"/>
      <c r="H1317" s="1"/>
    </row>
    <row r="1318" spans="2:8" ht="12.75">
      <c r="B1318" s="20" t="s">
        <v>47</v>
      </c>
      <c r="C1318" s="8">
        <v>1.43</v>
      </c>
      <c r="D1318" s="8">
        <f>C1318/2824.9/12*1000</f>
        <v>0.042184384107992016</v>
      </c>
      <c r="E1318" s="1"/>
      <c r="F1318" s="1"/>
      <c r="G1318" s="1"/>
      <c r="H1318" s="1"/>
    </row>
    <row r="1319" spans="2:8" ht="12.75">
      <c r="B1319" s="8" t="s">
        <v>48</v>
      </c>
      <c r="C1319" s="8">
        <v>7.96</v>
      </c>
      <c r="D1319" s="8">
        <f>C1319/2824.9/12*1000</f>
        <v>0.2348165716780535</v>
      </c>
      <c r="E1319" s="1"/>
      <c r="F1319" s="1"/>
      <c r="G1319" s="1"/>
      <c r="H1319" s="1"/>
    </row>
    <row r="1320" spans="2:8" ht="12.75">
      <c r="B1320" s="8" t="s">
        <v>50</v>
      </c>
      <c r="C1320" s="8">
        <v>1.56</v>
      </c>
      <c r="D1320" s="8">
        <f>C1320/2824.9/12*1000</f>
        <v>0.04601932811780948</v>
      </c>
      <c r="E1320" s="1"/>
      <c r="F1320" s="1"/>
      <c r="G1320" s="1"/>
      <c r="H1320" s="1"/>
    </row>
    <row r="1321" spans="2:8" ht="12.75">
      <c r="B1321" s="14" t="s">
        <v>27</v>
      </c>
      <c r="C1321" s="14">
        <f>42.15+6.59</f>
        <v>48.739999999999995</v>
      </c>
      <c r="D1321" s="14">
        <f>C1321/2824.9/12*1000</f>
        <v>1.437809007988483</v>
      </c>
      <c r="E1321" s="1"/>
      <c r="F1321" s="1"/>
      <c r="G1321" s="1"/>
      <c r="H1321" s="1"/>
    </row>
    <row r="1322" spans="2:8" ht="12.75">
      <c r="B1322" s="14"/>
      <c r="C1322" s="14"/>
      <c r="D1322" s="8"/>
      <c r="E1322" s="1"/>
      <c r="F1322" s="1"/>
      <c r="G1322" s="1"/>
      <c r="H1322" s="1"/>
    </row>
    <row r="1323" spans="2:8" ht="12.75">
      <c r="B1323" s="14" t="s">
        <v>29</v>
      </c>
      <c r="C1323" s="14">
        <f>C1310+C1311+C1315+C1321+C1322</f>
        <v>390.15</v>
      </c>
      <c r="D1323" s="14">
        <f>D1310+D1311+D1315+D1321+D1322</f>
        <v>11.50925696484831</v>
      </c>
      <c r="E1323" s="1"/>
      <c r="F1323" s="1"/>
      <c r="G1323" s="1"/>
      <c r="H1323" s="1"/>
    </row>
    <row r="1324" spans="2:8" ht="12.75">
      <c r="B1324" s="8" t="s">
        <v>51</v>
      </c>
      <c r="C1324" s="8">
        <v>39.01</v>
      </c>
      <c r="D1324" s="8">
        <f>C1324/2824.9/12*1000</f>
        <v>1.1507781986382999</v>
      </c>
      <c r="E1324" s="1"/>
      <c r="F1324" s="1"/>
      <c r="G1324" s="1"/>
      <c r="H1324" s="1"/>
    </row>
    <row r="1325" spans="2:8" ht="12.75">
      <c r="B1325" s="14" t="s">
        <v>31</v>
      </c>
      <c r="C1325" s="23">
        <f>C1323+C1324</f>
        <v>429.15999999999997</v>
      </c>
      <c r="D1325" s="23">
        <f>D1323+D1324</f>
        <v>12.66003516348661</v>
      </c>
      <c r="E1325" s="1"/>
      <c r="F1325" s="1"/>
      <c r="G1325" s="1"/>
      <c r="H1325" s="1"/>
    </row>
    <row r="1326" spans="2:8" ht="12.75">
      <c r="B1326" s="6" t="s">
        <v>34</v>
      </c>
      <c r="C1326" s="23">
        <f>C1325/C1309/12*1000</f>
        <v>12.660035163486612</v>
      </c>
      <c r="D1326" s="8"/>
      <c r="E1326" s="1"/>
      <c r="F1326" s="1"/>
      <c r="G1326" s="1"/>
      <c r="H1326" s="1"/>
    </row>
    <row r="1327" spans="2:8" ht="12.75">
      <c r="B1327" s="1"/>
      <c r="C1327" s="1"/>
      <c r="D1327" s="1"/>
      <c r="E1327" s="1"/>
      <c r="F1327" s="1"/>
      <c r="G1327" s="1"/>
      <c r="H1327" s="1"/>
    </row>
    <row r="1328" spans="2:8" ht="12.75">
      <c r="B1328" s="1" t="s">
        <v>52</v>
      </c>
      <c r="C1328" s="1"/>
      <c r="D1328" s="1"/>
      <c r="E1328" s="1"/>
      <c r="F1328" s="1"/>
      <c r="G1328" s="1"/>
      <c r="H1328" s="1"/>
    </row>
    <row r="1329" spans="2:8" ht="12.75">
      <c r="B1329" s="1"/>
      <c r="C1329" s="1"/>
      <c r="D1329" s="1"/>
      <c r="E1329" s="1"/>
      <c r="F1329" s="1"/>
      <c r="G1329" s="1"/>
      <c r="H1329" s="1"/>
    </row>
    <row r="1330" spans="2:8" ht="12.75">
      <c r="B1330" s="2" t="s">
        <v>0</v>
      </c>
      <c r="C1330" s="2"/>
      <c r="D1330" s="2"/>
      <c r="E1330" s="1"/>
      <c r="F1330" s="1"/>
      <c r="G1330" s="1"/>
      <c r="H1330" s="1"/>
    </row>
    <row r="1331" spans="2:8" ht="12.75">
      <c r="B1331" s="2" t="s">
        <v>65</v>
      </c>
      <c r="C1331" s="2"/>
      <c r="D1331" s="2"/>
      <c r="E1331" s="1"/>
      <c r="F1331" s="1"/>
      <c r="G1331" s="1"/>
      <c r="H1331" s="1"/>
    </row>
    <row r="1332" spans="2:8" ht="12.75">
      <c r="B1332" s="2" t="s">
        <v>118</v>
      </c>
      <c r="C1332" s="2"/>
      <c r="D1332" s="2"/>
      <c r="E1332" s="1"/>
      <c r="F1332" s="1"/>
      <c r="G1332" s="1"/>
      <c r="H1332" s="1"/>
    </row>
    <row r="1333" spans="2:8" ht="12.75">
      <c r="B1333" s="3"/>
      <c r="C1333" s="3"/>
      <c r="D1333" s="1"/>
      <c r="E1333" s="1"/>
      <c r="F1333" s="1"/>
      <c r="G1333" s="1"/>
      <c r="H1333" s="1"/>
    </row>
    <row r="1334" spans="2:8" ht="12.75">
      <c r="B1334" s="5" t="s">
        <v>4</v>
      </c>
      <c r="C1334" s="31" t="s">
        <v>40</v>
      </c>
      <c r="D1334" s="6" t="s">
        <v>41</v>
      </c>
      <c r="E1334" s="1"/>
      <c r="F1334" s="1"/>
      <c r="G1334" s="1"/>
      <c r="H1334" s="1"/>
    </row>
    <row r="1335" spans="2:8" ht="12.75">
      <c r="B1335" s="6"/>
      <c r="C1335" s="6"/>
      <c r="D1335" s="7"/>
      <c r="E1335" s="1"/>
      <c r="F1335" s="1"/>
      <c r="G1335" s="1"/>
      <c r="H1335" s="1"/>
    </row>
    <row r="1336" spans="2:8" ht="12.75">
      <c r="B1336" s="10" t="s">
        <v>42</v>
      </c>
      <c r="C1336" s="8">
        <v>2744</v>
      </c>
      <c r="D1336" s="8"/>
      <c r="E1336" s="1"/>
      <c r="F1336" s="1"/>
      <c r="G1336" s="1"/>
      <c r="H1336" s="1"/>
    </row>
    <row r="1337" spans="2:8" ht="12.75">
      <c r="B1337" s="11" t="s">
        <v>13</v>
      </c>
      <c r="C1337" s="32">
        <v>56.28</v>
      </c>
      <c r="D1337" s="14">
        <f>C1337/2744/12*1000</f>
        <v>1.7091836734693877</v>
      </c>
      <c r="E1337" s="1"/>
      <c r="F1337" s="1"/>
      <c r="G1337" s="1"/>
      <c r="H1337" s="1"/>
    </row>
    <row r="1338" spans="2:8" ht="12.75">
      <c r="B1338" s="15" t="s">
        <v>14</v>
      </c>
      <c r="C1338" s="9">
        <f>SUM(C1339:C1341)</f>
        <v>185.29000000000002</v>
      </c>
      <c r="D1338" s="9">
        <f>SUM(D1339:D1341)</f>
        <v>5.6271258503401365</v>
      </c>
      <c r="E1338" s="1"/>
      <c r="F1338" s="1"/>
      <c r="G1338" s="1"/>
      <c r="H1338" s="1"/>
    </row>
    <row r="1339" spans="2:8" ht="12.75">
      <c r="B1339" s="6" t="s">
        <v>43</v>
      </c>
      <c r="C1339" s="8">
        <f>21.4+28.97</f>
        <v>50.37</v>
      </c>
      <c r="D1339" s="8">
        <f>C1339/2744/12*1000</f>
        <v>1.529701166180758</v>
      </c>
      <c r="E1339" s="1"/>
      <c r="F1339" s="1"/>
      <c r="G1339" s="1"/>
      <c r="H1339" s="1"/>
    </row>
    <row r="1340" spans="2:8" ht="12.75">
      <c r="B1340" s="17" t="s">
        <v>44</v>
      </c>
      <c r="C1340" s="8">
        <v>24.24</v>
      </c>
      <c r="D1340" s="8">
        <f>C1340/2744/12*1000</f>
        <v>0.7361516034985423</v>
      </c>
      <c r="E1340" s="1"/>
      <c r="F1340" s="1"/>
      <c r="G1340" s="1"/>
      <c r="H1340" s="1"/>
    </row>
    <row r="1341" spans="2:8" ht="12.75">
      <c r="B1341" s="6" t="s">
        <v>16</v>
      </c>
      <c r="C1341" s="8">
        <v>110.68</v>
      </c>
      <c r="D1341" s="8">
        <f>C1341/2744/12*1000</f>
        <v>3.361273080660836</v>
      </c>
      <c r="E1341" s="1"/>
      <c r="F1341" s="1"/>
      <c r="G1341" s="1"/>
      <c r="H1341" s="1"/>
    </row>
    <row r="1342" spans="2:8" ht="12.75">
      <c r="B1342" s="10" t="s">
        <v>19</v>
      </c>
      <c r="C1342" s="22">
        <f>SUM(C1343:C1348)</f>
        <v>90.05000000000001</v>
      </c>
      <c r="D1342" s="22">
        <f>SUM(D1343:D1348)</f>
        <v>2.7347546161321676</v>
      </c>
      <c r="E1342" s="1"/>
      <c r="F1342" s="1"/>
      <c r="G1342" s="1"/>
      <c r="H1342" s="1"/>
    </row>
    <row r="1343" spans="2:8" ht="12.75">
      <c r="B1343" s="6" t="s">
        <v>45</v>
      </c>
      <c r="C1343" s="8">
        <f>60.16+12.15+6.09</f>
        <v>78.4</v>
      </c>
      <c r="D1343" s="8">
        <f>C1343/2744/12*1000</f>
        <v>2.3809523809523814</v>
      </c>
      <c r="E1343" s="1"/>
      <c r="F1343" s="1"/>
      <c r="G1343" s="1"/>
      <c r="H1343" s="1"/>
    </row>
    <row r="1344" spans="2:8" ht="12.75">
      <c r="B1344" s="6" t="s">
        <v>46</v>
      </c>
      <c r="C1344" s="8">
        <v>0</v>
      </c>
      <c r="D1344" s="8">
        <f>C1344/2744/12*1000</f>
        <v>0</v>
      </c>
      <c r="E1344" s="1"/>
      <c r="F1344" s="1"/>
      <c r="G1344" s="1"/>
      <c r="H1344" s="1"/>
    </row>
    <row r="1345" spans="2:8" ht="12.75">
      <c r="B1345" s="20" t="s">
        <v>47</v>
      </c>
      <c r="C1345" s="8">
        <v>2.11</v>
      </c>
      <c r="D1345" s="8">
        <f>C1345/2744/12*1000</f>
        <v>0.06407920310981535</v>
      </c>
      <c r="E1345" s="1"/>
      <c r="F1345" s="1"/>
      <c r="G1345" s="1"/>
      <c r="H1345" s="1"/>
    </row>
    <row r="1346" spans="2:8" ht="12.75">
      <c r="B1346" s="8" t="s">
        <v>48</v>
      </c>
      <c r="C1346" s="8">
        <v>7.96</v>
      </c>
      <c r="D1346" s="8">
        <f>C1346/2744/12*1000</f>
        <v>0.24173955296404276</v>
      </c>
      <c r="E1346" s="1"/>
      <c r="F1346" s="1"/>
      <c r="G1346" s="1"/>
      <c r="H1346" s="1"/>
    </row>
    <row r="1347" spans="2:8" ht="12.75">
      <c r="B1347" s="8" t="s">
        <v>49</v>
      </c>
      <c r="C1347" s="8">
        <v>0</v>
      </c>
      <c r="D1347" s="8">
        <f>C1347/2744/12*1000</f>
        <v>0</v>
      </c>
      <c r="E1347" s="1"/>
      <c r="F1347" s="1"/>
      <c r="G1347" s="1"/>
      <c r="H1347" s="1"/>
    </row>
    <row r="1348" spans="2:8" ht="12.75">
      <c r="B1348" s="8" t="s">
        <v>50</v>
      </c>
      <c r="C1348" s="8">
        <v>1.58</v>
      </c>
      <c r="D1348" s="8">
        <f>C1348/2744/12*1000</f>
        <v>0.04798347910592809</v>
      </c>
      <c r="E1348" s="1"/>
      <c r="F1348" s="1"/>
      <c r="G1348" s="1"/>
      <c r="H1348" s="1"/>
    </row>
    <row r="1349" spans="2:8" ht="12.75">
      <c r="B1349" s="14" t="s">
        <v>27</v>
      </c>
      <c r="C1349" s="14">
        <f>40.94+6.4</f>
        <v>47.339999999999996</v>
      </c>
      <c r="D1349" s="14">
        <f>C1349/2744/12*1000</f>
        <v>1.4376822157434404</v>
      </c>
      <c r="E1349" s="1"/>
      <c r="F1349" s="1"/>
      <c r="G1349" s="1"/>
      <c r="H1349" s="1"/>
    </row>
    <row r="1350" spans="2:8" ht="12.75">
      <c r="B1350" s="14"/>
      <c r="C1350" s="14"/>
      <c r="D1350" s="8"/>
      <c r="E1350" s="1"/>
      <c r="F1350" s="1"/>
      <c r="G1350" s="1"/>
      <c r="H1350" s="1"/>
    </row>
    <row r="1351" spans="2:8" ht="12.75">
      <c r="B1351" s="14" t="s">
        <v>29</v>
      </c>
      <c r="C1351" s="14">
        <f>C1337+C1338+C1342+C1349+C1350</f>
        <v>378.96</v>
      </c>
      <c r="D1351" s="14">
        <f>D1337+D1338+D1342+D1349+D1350</f>
        <v>11.508746355685131</v>
      </c>
      <c r="E1351" s="1"/>
      <c r="F1351" s="1"/>
      <c r="G1351" s="1"/>
      <c r="H1351" s="1"/>
    </row>
    <row r="1352" spans="2:8" ht="12.75">
      <c r="B1352" s="8" t="s">
        <v>51</v>
      </c>
      <c r="C1352" s="8">
        <v>37.9</v>
      </c>
      <c r="D1352" s="8">
        <f>C1352/2744/12*1000</f>
        <v>1.1509961127308066</v>
      </c>
      <c r="E1352" s="1"/>
      <c r="F1352" s="1"/>
      <c r="G1352" s="1"/>
      <c r="H1352" s="1"/>
    </row>
    <row r="1353" spans="2:8" ht="12.75">
      <c r="B1353" s="14" t="s">
        <v>31</v>
      </c>
      <c r="C1353" s="23">
        <f>C1351+C1352</f>
        <v>416.85999999999996</v>
      </c>
      <c r="D1353" s="23">
        <f>D1351+D1352</f>
        <v>12.659742468415939</v>
      </c>
      <c r="E1353" s="1"/>
      <c r="F1353" s="1"/>
      <c r="G1353" s="1"/>
      <c r="H1353" s="1"/>
    </row>
    <row r="1354" spans="2:8" ht="12.75">
      <c r="B1354" s="6" t="s">
        <v>34</v>
      </c>
      <c r="C1354" s="23">
        <f>C1353/C1336/12*1000</f>
        <v>12.659742468415939</v>
      </c>
      <c r="D1354" s="8"/>
      <c r="E1354" s="1"/>
      <c r="F1354" s="1"/>
      <c r="G1354" s="1"/>
      <c r="H1354" s="1"/>
    </row>
    <row r="1355" spans="2:8" ht="12.75">
      <c r="B1355" s="1"/>
      <c r="C1355" s="1"/>
      <c r="D1355" s="1"/>
      <c r="E1355" s="1"/>
      <c r="F1355" s="1"/>
      <c r="G1355" s="1"/>
      <c r="H1355" s="1"/>
    </row>
    <row r="1356" spans="2:8" ht="12.75">
      <c r="B1356" s="1" t="s">
        <v>52</v>
      </c>
      <c r="C1356" s="1"/>
      <c r="D1356" s="1"/>
      <c r="E1356" s="1"/>
      <c r="F1356" s="1"/>
      <c r="G1356" s="1"/>
      <c r="H1356" s="1"/>
    </row>
    <row r="1357" spans="2:8" ht="12.75">
      <c r="B1357" s="1"/>
      <c r="C1357" s="1"/>
      <c r="D1357" s="1"/>
      <c r="E1357" s="1"/>
      <c r="F1357" s="1"/>
      <c r="G1357" s="1"/>
      <c r="H1357" s="1"/>
    </row>
    <row r="1358" spans="2:8" ht="12.75">
      <c r="B1358" s="2" t="s">
        <v>0</v>
      </c>
      <c r="C1358" s="2"/>
      <c r="D1358" s="2"/>
      <c r="E1358" s="1"/>
      <c r="F1358" s="1"/>
      <c r="G1358" s="1"/>
      <c r="H1358" s="1"/>
    </row>
    <row r="1359" spans="2:8" ht="12.75">
      <c r="B1359" s="2" t="s">
        <v>65</v>
      </c>
      <c r="C1359" s="2"/>
      <c r="D1359" s="2"/>
      <c r="E1359" s="1"/>
      <c r="F1359" s="1"/>
      <c r="G1359" s="1"/>
      <c r="H1359" s="1"/>
    </row>
    <row r="1360" spans="2:8" ht="12.75">
      <c r="B1360" s="2" t="s">
        <v>119</v>
      </c>
      <c r="C1360" s="2"/>
      <c r="D1360" s="2"/>
      <c r="E1360" s="1"/>
      <c r="F1360" s="1"/>
      <c r="G1360" s="1"/>
      <c r="H1360" s="1"/>
    </row>
    <row r="1361" spans="2:8" ht="12.75">
      <c r="B1361" s="3"/>
      <c r="C1361" s="3"/>
      <c r="D1361" s="1"/>
      <c r="E1361" s="1"/>
      <c r="F1361" s="1"/>
      <c r="G1361" s="1"/>
      <c r="H1361" s="1"/>
    </row>
    <row r="1362" spans="2:8" ht="12.75">
      <c r="B1362" s="5" t="s">
        <v>4</v>
      </c>
      <c r="C1362" s="31" t="s">
        <v>40</v>
      </c>
      <c r="D1362" s="6" t="s">
        <v>41</v>
      </c>
      <c r="E1362" s="1"/>
      <c r="F1362" s="1"/>
      <c r="G1362" s="1"/>
      <c r="H1362" s="1"/>
    </row>
    <row r="1363" spans="2:8" ht="12.75">
      <c r="B1363" s="6"/>
      <c r="C1363" s="6"/>
      <c r="D1363" s="7"/>
      <c r="E1363" s="1"/>
      <c r="F1363" s="1"/>
      <c r="G1363" s="1"/>
      <c r="H1363" s="1"/>
    </row>
    <row r="1364" spans="2:8" ht="12.75">
      <c r="B1364" s="10" t="s">
        <v>42</v>
      </c>
      <c r="C1364" s="8">
        <v>2817.3</v>
      </c>
      <c r="D1364" s="8"/>
      <c r="E1364" s="1"/>
      <c r="F1364" s="1"/>
      <c r="G1364" s="1"/>
      <c r="H1364" s="1"/>
    </row>
    <row r="1365" spans="2:8" ht="12.75">
      <c r="B1365" s="11" t="s">
        <v>13</v>
      </c>
      <c r="C1365" s="32">
        <v>62.66</v>
      </c>
      <c r="D1365" s="14">
        <f>C1365/2817.3/12*1000</f>
        <v>1.8534294064056602</v>
      </c>
      <c r="E1365" s="1"/>
      <c r="F1365" s="1"/>
      <c r="G1365" s="1"/>
      <c r="H1365" s="1"/>
    </row>
    <row r="1366" spans="2:8" ht="12.75">
      <c r="B1366" s="15" t="s">
        <v>14</v>
      </c>
      <c r="C1366" s="9">
        <f>SUM(C1367:C1370)</f>
        <v>217.32000000000005</v>
      </c>
      <c r="D1366" s="9">
        <f>SUM(D1367:D1370)</f>
        <v>6.428140418130835</v>
      </c>
      <c r="E1366" s="1"/>
      <c r="F1366" s="1"/>
      <c r="G1366" s="1"/>
      <c r="H1366" s="1"/>
    </row>
    <row r="1367" spans="2:8" ht="12.75">
      <c r="B1367" s="6" t="s">
        <v>43</v>
      </c>
      <c r="C1367" s="8">
        <f>21.98+29.75</f>
        <v>51.730000000000004</v>
      </c>
      <c r="D1367" s="8">
        <f>C1367/2817.3/12*1000</f>
        <v>1.5301293200345485</v>
      </c>
      <c r="E1367" s="1"/>
      <c r="F1367" s="1"/>
      <c r="G1367" s="1"/>
      <c r="H1367" s="1"/>
    </row>
    <row r="1368" spans="2:8" ht="12.75">
      <c r="B1368" s="17" t="s">
        <v>44</v>
      </c>
      <c r="C1368" s="8">
        <v>24.89</v>
      </c>
      <c r="D1368" s="8">
        <f>C1368/2817.3/12*1000</f>
        <v>0.7362249908304642</v>
      </c>
      <c r="E1368" s="1"/>
      <c r="F1368" s="1"/>
      <c r="G1368" s="1"/>
      <c r="H1368" s="1"/>
    </row>
    <row r="1369" spans="2:8" ht="12.75">
      <c r="B1369" s="6" t="s">
        <v>16</v>
      </c>
      <c r="C1369" s="8">
        <v>128.27</v>
      </c>
      <c r="D1369" s="8">
        <f>C1369/2817.3/12*1000</f>
        <v>3.7941172990688488</v>
      </c>
      <c r="E1369" s="1"/>
      <c r="F1369" s="1"/>
      <c r="G1369" s="1"/>
      <c r="H1369" s="1"/>
    </row>
    <row r="1370" spans="2:8" ht="12.75">
      <c r="B1370" s="6" t="s">
        <v>64</v>
      </c>
      <c r="C1370" s="8">
        <v>12.43</v>
      </c>
      <c r="D1370" s="8">
        <f>C1370/2817.3/12*1000</f>
        <v>0.3676688081969734</v>
      </c>
      <c r="E1370" s="1"/>
      <c r="F1370" s="1"/>
      <c r="G1370" s="1"/>
      <c r="H1370" s="1"/>
    </row>
    <row r="1371" spans="2:8" ht="12.75">
      <c r="B1371" s="10" t="s">
        <v>19</v>
      </c>
      <c r="C1371" s="22">
        <f>SUM(C1372:C1376)</f>
        <v>92.84</v>
      </c>
      <c r="D1371" s="22">
        <f>SUM(D1372:D1376)</f>
        <v>2.746128089541996</v>
      </c>
      <c r="E1371" s="1"/>
      <c r="F1371" s="1"/>
      <c r="G1371" s="1"/>
      <c r="H1371" s="1"/>
    </row>
    <row r="1372" spans="2:8" ht="12.75">
      <c r="B1372" s="6" t="s">
        <v>45</v>
      </c>
      <c r="C1372" s="8">
        <f>62.35+12.59+6.31</f>
        <v>81.25</v>
      </c>
      <c r="D1372" s="8">
        <f>C1372/2817.3/12*1000</f>
        <v>2.4033057655675054</v>
      </c>
      <c r="E1372" s="1"/>
      <c r="F1372" s="1"/>
      <c r="G1372" s="1"/>
      <c r="H1372" s="1"/>
    </row>
    <row r="1373" spans="2:8" ht="12.75">
      <c r="B1373" s="6" t="s">
        <v>46</v>
      </c>
      <c r="C1373" s="8">
        <v>0</v>
      </c>
      <c r="D1373" s="8">
        <f>C1373/2817.3/12*1000</f>
        <v>0</v>
      </c>
      <c r="E1373" s="1"/>
      <c r="F1373" s="1"/>
      <c r="G1373" s="1"/>
      <c r="H1373" s="1"/>
    </row>
    <row r="1374" spans="2:8" ht="12.75">
      <c r="B1374" s="20" t="s">
        <v>47</v>
      </c>
      <c r="C1374" s="8">
        <v>2.11</v>
      </c>
      <c r="D1374" s="8">
        <f>C1374/2817.3/12*1000</f>
        <v>0.06241200203504538</v>
      </c>
      <c r="E1374" s="1"/>
      <c r="F1374" s="1"/>
      <c r="G1374" s="1"/>
      <c r="H1374" s="1"/>
    </row>
    <row r="1375" spans="2:8" ht="12.75">
      <c r="B1375" s="8" t="s">
        <v>48</v>
      </c>
      <c r="C1375" s="8">
        <v>7.96</v>
      </c>
      <c r="D1375" s="8">
        <f>C1375/2817.3/12*1000</f>
        <v>0.23545001715590574</v>
      </c>
      <c r="E1375" s="1"/>
      <c r="F1375" s="1"/>
      <c r="G1375" s="1"/>
      <c r="H1375" s="1"/>
    </row>
    <row r="1376" spans="2:8" ht="12.75">
      <c r="B1376" s="8" t="s">
        <v>50</v>
      </c>
      <c r="C1376" s="8">
        <v>1.52</v>
      </c>
      <c r="D1376" s="8">
        <f>C1376/2817.3/12*1000</f>
        <v>0.044960304783539795</v>
      </c>
      <c r="E1376" s="1"/>
      <c r="F1376" s="1"/>
      <c r="G1376" s="1"/>
      <c r="H1376" s="1"/>
    </row>
    <row r="1377" spans="2:8" ht="12.75">
      <c r="B1377" s="14" t="s">
        <v>27</v>
      </c>
      <c r="C1377" s="14">
        <f>42.03+7.12</f>
        <v>49.15</v>
      </c>
      <c r="D1377" s="14">
        <f>C1377/2817.3/12*1000</f>
        <v>1.4538151184940662</v>
      </c>
      <c r="E1377" s="1"/>
      <c r="F1377" s="1"/>
      <c r="G1377" s="1"/>
      <c r="H1377" s="1"/>
    </row>
    <row r="1378" spans="2:8" ht="12.75">
      <c r="B1378" s="14"/>
      <c r="C1378" s="14"/>
      <c r="D1378" s="8"/>
      <c r="E1378" s="1"/>
      <c r="F1378" s="1"/>
      <c r="G1378" s="1"/>
      <c r="H1378" s="1"/>
    </row>
    <row r="1379" spans="2:8" ht="12.75">
      <c r="B1379" s="14" t="s">
        <v>29</v>
      </c>
      <c r="C1379" s="14">
        <f>C1365+C1366+C1371+C1377+C1378</f>
        <v>421.97</v>
      </c>
      <c r="D1379" s="14">
        <f>D1365+D1366+D1371+D1377+D1378</f>
        <v>12.481513032572558</v>
      </c>
      <c r="E1379" s="1"/>
      <c r="F1379" s="1"/>
      <c r="G1379" s="1"/>
      <c r="H1379" s="1"/>
    </row>
    <row r="1380" spans="2:8" ht="12.75">
      <c r="B1380" s="8" t="s">
        <v>51</v>
      </c>
      <c r="C1380" s="8">
        <v>42.2</v>
      </c>
      <c r="D1380" s="8">
        <f>C1380/2817.3/12*1000</f>
        <v>1.2482400407009075</v>
      </c>
      <c r="E1380" s="1"/>
      <c r="F1380" s="1"/>
      <c r="G1380" s="1"/>
      <c r="H1380" s="1"/>
    </row>
    <row r="1381" spans="2:8" ht="12.75">
      <c r="B1381" s="14" t="s">
        <v>31</v>
      </c>
      <c r="C1381" s="23">
        <f>C1379+C1380</f>
        <v>464.17</v>
      </c>
      <c r="D1381" s="23">
        <f>D1379+D1380</f>
        <v>13.729753073273464</v>
      </c>
      <c r="E1381" s="1"/>
      <c r="F1381" s="1"/>
      <c r="G1381" s="1"/>
      <c r="H1381" s="1"/>
    </row>
    <row r="1382" spans="2:8" ht="12.75">
      <c r="B1382" s="6" t="s">
        <v>34</v>
      </c>
      <c r="C1382" s="23">
        <f>C1381/C1364/12*1000</f>
        <v>13.729753073273466</v>
      </c>
      <c r="D1382" s="8"/>
      <c r="E1382" s="1"/>
      <c r="F1382" s="1"/>
      <c r="G1382" s="1"/>
      <c r="H1382" s="1"/>
    </row>
    <row r="1383" spans="2:8" ht="12.75">
      <c r="B1383" s="1"/>
      <c r="C1383" s="1"/>
      <c r="D1383" s="1"/>
      <c r="E1383" s="1"/>
      <c r="F1383" s="1"/>
      <c r="G1383" s="1"/>
      <c r="H1383" s="1"/>
    </row>
    <row r="1384" spans="2:8" ht="12.75">
      <c r="B1384" s="1" t="s">
        <v>52</v>
      </c>
      <c r="C1384" s="1"/>
      <c r="D1384" s="1"/>
      <c r="E1384" s="1"/>
      <c r="F1384" s="1"/>
      <c r="G1384" s="1"/>
      <c r="H1384" s="1"/>
    </row>
    <row r="1385" spans="2:8" ht="12.75">
      <c r="B1385" s="1"/>
      <c r="C1385" s="1"/>
      <c r="D1385" s="1"/>
      <c r="E1385" s="1"/>
      <c r="F1385" s="1"/>
      <c r="G1385" s="1"/>
      <c r="H1385" s="1"/>
    </row>
    <row r="1386" spans="2:8" ht="12.75">
      <c r="B1386" s="2" t="s">
        <v>0</v>
      </c>
      <c r="C1386" s="2"/>
      <c r="D1386" s="2"/>
      <c r="E1386" s="1"/>
      <c r="F1386" s="1"/>
      <c r="G1386" s="1"/>
      <c r="H1386" s="1"/>
    </row>
    <row r="1387" spans="2:8" ht="12.75">
      <c r="B1387" s="2" t="s">
        <v>65</v>
      </c>
      <c r="C1387" s="2"/>
      <c r="D1387" s="2"/>
      <c r="E1387" s="1"/>
      <c r="F1387" s="1"/>
      <c r="G1387" s="1"/>
      <c r="H1387" s="1"/>
    </row>
    <row r="1388" spans="2:8" ht="12.75">
      <c r="B1388" s="2" t="s">
        <v>120</v>
      </c>
      <c r="C1388" s="2"/>
      <c r="D1388" s="2"/>
      <c r="E1388" s="1"/>
      <c r="F1388" s="1"/>
      <c r="G1388" s="1"/>
      <c r="H1388" s="1"/>
    </row>
    <row r="1389" spans="2:8" ht="12.75">
      <c r="B1389" s="3"/>
      <c r="C1389" s="3"/>
      <c r="D1389" s="1"/>
      <c r="E1389" s="1"/>
      <c r="F1389" s="1"/>
      <c r="G1389" s="1"/>
      <c r="H1389" s="1"/>
    </row>
    <row r="1390" spans="2:8" ht="12.75">
      <c r="B1390" s="5" t="s">
        <v>4</v>
      </c>
      <c r="C1390" s="31" t="s">
        <v>40</v>
      </c>
      <c r="D1390" s="6" t="s">
        <v>41</v>
      </c>
      <c r="E1390" s="1"/>
      <c r="F1390" s="1"/>
      <c r="G1390" s="1"/>
      <c r="H1390" s="1"/>
    </row>
    <row r="1391" spans="2:8" ht="12.75">
      <c r="B1391" s="6"/>
      <c r="C1391" s="6"/>
      <c r="D1391" s="7"/>
      <c r="E1391" s="1"/>
      <c r="F1391" s="1"/>
      <c r="G1391" s="1"/>
      <c r="H1391" s="1"/>
    </row>
    <row r="1392" spans="2:8" ht="12.75">
      <c r="B1392" s="10" t="s">
        <v>42</v>
      </c>
      <c r="C1392" s="8">
        <v>745.6</v>
      </c>
      <c r="D1392" s="8"/>
      <c r="E1392" s="1"/>
      <c r="F1392" s="1"/>
      <c r="G1392" s="1"/>
      <c r="H1392" s="1"/>
    </row>
    <row r="1393" spans="2:8" ht="12.75">
      <c r="B1393" s="11" t="s">
        <v>13</v>
      </c>
      <c r="C1393" s="32">
        <v>15.29</v>
      </c>
      <c r="D1393" s="14">
        <f>C1393/745.6/12*1000</f>
        <v>1.7089145207439198</v>
      </c>
      <c r="E1393" s="1"/>
      <c r="F1393" s="1"/>
      <c r="G1393" s="1"/>
      <c r="H1393" s="1"/>
    </row>
    <row r="1394" spans="2:8" ht="12.75">
      <c r="B1394" s="15" t="s">
        <v>14</v>
      </c>
      <c r="C1394" s="9">
        <f>SUM(C1395:C1397)</f>
        <v>44.09</v>
      </c>
      <c r="D1394" s="9">
        <f>SUM(D1395:D1397)</f>
        <v>4.927798640915594</v>
      </c>
      <c r="E1394" s="1"/>
      <c r="F1394" s="1"/>
      <c r="G1394" s="1"/>
      <c r="H1394" s="1"/>
    </row>
    <row r="1395" spans="2:8" ht="12.75">
      <c r="B1395" s="6" t="s">
        <v>43</v>
      </c>
      <c r="C1395" s="8">
        <f>5.82+7.87</f>
        <v>13.690000000000001</v>
      </c>
      <c r="D1395" s="8">
        <f>C1395/745.6/12*1000</f>
        <v>1.5300876251788271</v>
      </c>
      <c r="E1395" s="1"/>
      <c r="F1395" s="1"/>
      <c r="G1395" s="1"/>
      <c r="H1395" s="1"/>
    </row>
    <row r="1396" spans="2:8" ht="12.75">
      <c r="B1396" s="17" t="s">
        <v>44</v>
      </c>
      <c r="C1396" s="8">
        <v>6.59</v>
      </c>
      <c r="D1396" s="8">
        <f>C1396/745.6/12*1000</f>
        <v>0.7365432761087267</v>
      </c>
      <c r="E1396" s="1"/>
      <c r="F1396" s="1"/>
      <c r="G1396" s="1"/>
      <c r="H1396" s="1"/>
    </row>
    <row r="1397" spans="2:8" ht="12.75">
      <c r="B1397" s="6" t="s">
        <v>16</v>
      </c>
      <c r="C1397" s="8">
        <v>23.81</v>
      </c>
      <c r="D1397" s="8">
        <f>C1397/745.6/12*1000</f>
        <v>2.66116773962804</v>
      </c>
      <c r="E1397" s="1"/>
      <c r="F1397" s="1"/>
      <c r="G1397" s="1"/>
      <c r="H1397" s="1"/>
    </row>
    <row r="1398" spans="2:8" ht="12.75">
      <c r="B1398" s="10" t="s">
        <v>19</v>
      </c>
      <c r="C1398" s="22">
        <f>SUM(C1399:C1404)</f>
        <v>30.720000000000002</v>
      </c>
      <c r="D1398" s="22">
        <f>SUM(D1399:D1404)</f>
        <v>3.433476394849785</v>
      </c>
      <c r="E1398" s="1"/>
      <c r="F1398" s="1"/>
      <c r="G1398" s="1"/>
      <c r="H1398" s="1"/>
    </row>
    <row r="1399" spans="2:8" ht="12.75">
      <c r="B1399" s="6" t="s">
        <v>45</v>
      </c>
      <c r="C1399" s="8">
        <f>21.48+4.34+2.17</f>
        <v>27.990000000000002</v>
      </c>
      <c r="D1399" s="8">
        <f>C1399/745.6/12*1000</f>
        <v>3.1283530042918453</v>
      </c>
      <c r="E1399" s="1"/>
      <c r="F1399" s="1"/>
      <c r="G1399" s="1"/>
      <c r="H1399" s="1"/>
    </row>
    <row r="1400" spans="2:8" ht="12.75">
      <c r="B1400" s="6" t="s">
        <v>46</v>
      </c>
      <c r="C1400" s="8">
        <v>0</v>
      </c>
      <c r="D1400" s="8">
        <f>C1400/745.6/12*1000</f>
        <v>0</v>
      </c>
      <c r="E1400" s="1"/>
      <c r="F1400" s="1"/>
      <c r="G1400" s="1"/>
      <c r="H1400" s="1"/>
    </row>
    <row r="1401" spans="2:8" ht="12.75">
      <c r="B1401" s="20" t="s">
        <v>47</v>
      </c>
      <c r="C1401" s="8">
        <v>0.06</v>
      </c>
      <c r="D1401" s="8">
        <f>C1401/745.6/12*1000</f>
        <v>0.006706008583690986</v>
      </c>
      <c r="E1401" s="1"/>
      <c r="F1401" s="1"/>
      <c r="G1401" s="1"/>
      <c r="H1401" s="1"/>
    </row>
    <row r="1402" spans="2:8" ht="12.75">
      <c r="B1402" s="8" t="s">
        <v>48</v>
      </c>
      <c r="C1402" s="8">
        <v>2.12</v>
      </c>
      <c r="D1402" s="8">
        <f>C1402/745.6/12*1000</f>
        <v>0.2369456366237482</v>
      </c>
      <c r="E1402" s="1"/>
      <c r="F1402" s="1"/>
      <c r="G1402" s="1"/>
      <c r="H1402" s="1"/>
    </row>
    <row r="1403" spans="2:8" ht="12.75">
      <c r="B1403" s="8" t="s">
        <v>49</v>
      </c>
      <c r="C1403" s="8">
        <v>0</v>
      </c>
      <c r="D1403" s="8">
        <f>C1403/745.6/12*1000</f>
        <v>0</v>
      </c>
      <c r="E1403" s="1"/>
      <c r="F1403" s="1"/>
      <c r="G1403" s="1"/>
      <c r="H1403" s="1"/>
    </row>
    <row r="1404" spans="2:8" ht="12.75">
      <c r="B1404" s="8" t="s">
        <v>50</v>
      </c>
      <c r="C1404" s="8">
        <v>0.55</v>
      </c>
      <c r="D1404" s="8">
        <f>C1404/745.6/12*1000</f>
        <v>0.06147174535050071</v>
      </c>
      <c r="E1404" s="1"/>
      <c r="F1404" s="1"/>
      <c r="G1404" s="1"/>
      <c r="H1404" s="1"/>
    </row>
    <row r="1405" spans="2:8" ht="12.75">
      <c r="B1405" s="14" t="s">
        <v>27</v>
      </c>
      <c r="C1405" s="14">
        <f>11.12+1.74</f>
        <v>12.86</v>
      </c>
      <c r="D1405" s="14">
        <f>C1405/745.6/12*1000</f>
        <v>1.4373211731044346</v>
      </c>
      <c r="E1405" s="1"/>
      <c r="F1405" s="1"/>
      <c r="G1405" s="1"/>
      <c r="H1405" s="1"/>
    </row>
    <row r="1406" spans="2:8" ht="12.75">
      <c r="B1406" s="14"/>
      <c r="C1406" s="14"/>
      <c r="D1406" s="8"/>
      <c r="E1406" s="1"/>
      <c r="F1406" s="1"/>
      <c r="G1406" s="1"/>
      <c r="H1406" s="1"/>
    </row>
    <row r="1407" spans="2:8" ht="12.75">
      <c r="B1407" s="14" t="s">
        <v>29</v>
      </c>
      <c r="C1407" s="23">
        <f>C1393+C1394+C1398+C1405+C1406</f>
        <v>102.96000000000001</v>
      </c>
      <c r="D1407" s="23">
        <f>D1393+D1394+D1398+D1405+D1406</f>
        <v>11.507510729613733</v>
      </c>
      <c r="E1407" s="1"/>
      <c r="F1407" s="1"/>
      <c r="G1407" s="1"/>
      <c r="H1407" s="1"/>
    </row>
    <row r="1408" spans="2:8" ht="12.75">
      <c r="B1408" s="8" t="s">
        <v>51</v>
      </c>
      <c r="C1408" s="8">
        <v>10.3</v>
      </c>
      <c r="D1408" s="8">
        <f>C1408/745.6/12*1000</f>
        <v>1.151198140200286</v>
      </c>
      <c r="E1408" s="1"/>
      <c r="F1408" s="1"/>
      <c r="G1408" s="1"/>
      <c r="H1408" s="1"/>
    </row>
    <row r="1409" spans="2:8" ht="12.75">
      <c r="B1409" s="14" t="s">
        <v>31</v>
      </c>
      <c r="C1409" s="23">
        <f>C1407+C1408</f>
        <v>113.26</v>
      </c>
      <c r="D1409" s="23">
        <f>D1407+D1408</f>
        <v>12.658708869814019</v>
      </c>
      <c r="E1409" s="1"/>
      <c r="F1409" s="1"/>
      <c r="G1409" s="1"/>
      <c r="H1409" s="1"/>
    </row>
    <row r="1410" spans="2:8" ht="12.75">
      <c r="B1410" s="6" t="s">
        <v>34</v>
      </c>
      <c r="C1410" s="23">
        <f>C1409/C1392/12*1000</f>
        <v>12.658708869814019</v>
      </c>
      <c r="D1410" s="8"/>
      <c r="E1410" s="1"/>
      <c r="F1410" s="1"/>
      <c r="G1410" s="1"/>
      <c r="H1410" s="1"/>
    </row>
    <row r="1411" spans="2:8" ht="12.75">
      <c r="B1411" s="1"/>
      <c r="C1411" s="1"/>
      <c r="D1411" s="1"/>
      <c r="E1411" s="1"/>
      <c r="F1411" s="1"/>
      <c r="G1411" s="1"/>
      <c r="H1411" s="1"/>
    </row>
    <row r="1412" spans="2:8" ht="12.75">
      <c r="B1412" s="1" t="s">
        <v>52</v>
      </c>
      <c r="C1412" s="1"/>
      <c r="D1412" s="1"/>
      <c r="E1412" s="1"/>
      <c r="F1412" s="1"/>
      <c r="G1412" s="1"/>
      <c r="H1412" s="1"/>
    </row>
    <row r="1413" spans="2:8" ht="12.75">
      <c r="B1413" s="1"/>
      <c r="C1413" s="1"/>
      <c r="D1413" s="1"/>
      <c r="E1413" s="1"/>
      <c r="F1413" s="1"/>
      <c r="G1413" s="1"/>
      <c r="H1413" s="1"/>
    </row>
    <row r="1414" spans="2:8" ht="12.75">
      <c r="B1414" s="2" t="s">
        <v>0</v>
      </c>
      <c r="C1414" s="2"/>
      <c r="D1414" s="2"/>
      <c r="E1414" s="1"/>
      <c r="F1414" s="1"/>
      <c r="G1414" s="1"/>
      <c r="H1414" s="1"/>
    </row>
    <row r="1415" spans="2:8" ht="12.75">
      <c r="B1415" s="2" t="s">
        <v>65</v>
      </c>
      <c r="C1415" s="2"/>
      <c r="D1415" s="2"/>
      <c r="E1415" s="1"/>
      <c r="F1415" s="1"/>
      <c r="G1415" s="1"/>
      <c r="H1415" s="1"/>
    </row>
    <row r="1416" spans="2:8" ht="12.75">
      <c r="B1416" s="2" t="s">
        <v>121</v>
      </c>
      <c r="C1416" s="2"/>
      <c r="D1416" s="2"/>
      <c r="E1416" s="1"/>
      <c r="F1416" s="1"/>
      <c r="G1416" s="1"/>
      <c r="H1416" s="1"/>
    </row>
    <row r="1417" spans="2:8" ht="12.75">
      <c r="B1417" s="3"/>
      <c r="C1417" s="3"/>
      <c r="D1417" s="1"/>
      <c r="E1417" s="1"/>
      <c r="F1417" s="1"/>
      <c r="G1417" s="1"/>
      <c r="H1417" s="1"/>
    </row>
    <row r="1418" spans="2:8" ht="12.75">
      <c r="B1418" s="5" t="s">
        <v>4</v>
      </c>
      <c r="C1418" s="31" t="s">
        <v>40</v>
      </c>
      <c r="D1418" s="6" t="s">
        <v>41</v>
      </c>
      <c r="E1418" s="1"/>
      <c r="F1418" s="1"/>
      <c r="G1418" s="1"/>
      <c r="H1418" s="1"/>
    </row>
    <row r="1419" spans="2:8" ht="12.75">
      <c r="B1419" s="6"/>
      <c r="C1419" s="6"/>
      <c r="D1419" s="7"/>
      <c r="E1419" s="1"/>
      <c r="F1419" s="1"/>
      <c r="G1419" s="1"/>
      <c r="H1419" s="1"/>
    </row>
    <row r="1420" spans="2:8" ht="12.75">
      <c r="B1420" s="10" t="s">
        <v>42</v>
      </c>
      <c r="C1420" s="8">
        <v>394.3</v>
      </c>
      <c r="D1420" s="8"/>
      <c r="E1420" s="1"/>
      <c r="F1420" s="1"/>
      <c r="G1420" s="1"/>
      <c r="H1420" s="1"/>
    </row>
    <row r="1421" spans="2:8" ht="12.75">
      <c r="B1421" s="11" t="s">
        <v>13</v>
      </c>
      <c r="C1421" s="32">
        <v>8.09</v>
      </c>
      <c r="D1421" s="14">
        <f>C1421/394.3/12*1000</f>
        <v>1.709781046580438</v>
      </c>
      <c r="E1421" s="1"/>
      <c r="F1421" s="1"/>
      <c r="G1421" s="1"/>
      <c r="H1421" s="1"/>
    </row>
    <row r="1422" spans="2:8" ht="12.75">
      <c r="B1422" s="15" t="s">
        <v>14</v>
      </c>
      <c r="C1422" s="9">
        <f>SUM(C1423:C1425)</f>
        <v>38.08</v>
      </c>
      <c r="D1422" s="9">
        <f>SUM(D1423:D1425)</f>
        <v>8.048017583903965</v>
      </c>
      <c r="E1422" s="1"/>
      <c r="F1422" s="1"/>
      <c r="G1422" s="1"/>
      <c r="H1422" s="1"/>
    </row>
    <row r="1423" spans="2:8" ht="12.75">
      <c r="B1423" s="6" t="s">
        <v>43</v>
      </c>
      <c r="C1423" s="8">
        <f>3.08+4.16</f>
        <v>7.24</v>
      </c>
      <c r="D1423" s="8">
        <f>C1423/394.3/12*1000</f>
        <v>1.5301377969397243</v>
      </c>
      <c r="E1423" s="1"/>
      <c r="F1423" s="1"/>
      <c r="G1423" s="1"/>
      <c r="H1423" s="1"/>
    </row>
    <row r="1424" spans="2:8" ht="12.75">
      <c r="B1424" s="17" t="s">
        <v>44</v>
      </c>
      <c r="C1424" s="8">
        <v>3.48</v>
      </c>
      <c r="D1424" s="8">
        <f>C1424/394.3/12*1000</f>
        <v>0.7354805985290389</v>
      </c>
      <c r="E1424" s="1"/>
      <c r="F1424" s="1"/>
      <c r="G1424" s="1"/>
      <c r="H1424" s="1"/>
    </row>
    <row r="1425" spans="2:8" ht="12.75">
      <c r="B1425" s="6" t="s">
        <v>16</v>
      </c>
      <c r="C1425" s="8">
        <f>26.74+0.62</f>
        <v>27.36</v>
      </c>
      <c r="D1425" s="8">
        <f>C1425/394.3/12*1000</f>
        <v>5.7823991884352015</v>
      </c>
      <c r="E1425" s="1"/>
      <c r="F1425" s="1"/>
      <c r="G1425" s="1"/>
      <c r="H1425" s="1"/>
    </row>
    <row r="1426" spans="2:8" ht="12.75">
      <c r="B1426" s="10" t="s">
        <v>19</v>
      </c>
      <c r="C1426" s="22">
        <f>SUM(C1427:C1430)</f>
        <v>1.49</v>
      </c>
      <c r="D1426" s="22">
        <f>SUM(D1427:D1430)</f>
        <v>0.3149040493701919</v>
      </c>
      <c r="E1426" s="1"/>
      <c r="F1426" s="1"/>
      <c r="G1426" s="1"/>
      <c r="H1426" s="1"/>
    </row>
    <row r="1427" spans="2:8" ht="12.75">
      <c r="B1427" s="6" t="s">
        <v>45</v>
      </c>
      <c r="C1427" s="8"/>
      <c r="D1427" s="8">
        <f>C1427/394.3/12*1000</f>
        <v>0</v>
      </c>
      <c r="E1427" s="1"/>
      <c r="F1427" s="1"/>
      <c r="G1427" s="1"/>
      <c r="H1427" s="1"/>
    </row>
    <row r="1428" spans="2:8" ht="12.75">
      <c r="B1428" s="6" t="s">
        <v>46</v>
      </c>
      <c r="C1428" s="8">
        <v>0</v>
      </c>
      <c r="D1428" s="8">
        <f>C1428/394.3/12*1000</f>
        <v>0</v>
      </c>
      <c r="E1428" s="1"/>
      <c r="F1428" s="1"/>
      <c r="G1428" s="1"/>
      <c r="H1428" s="1"/>
    </row>
    <row r="1429" spans="2:8" ht="12.75">
      <c r="B1429" s="8" t="s">
        <v>48</v>
      </c>
      <c r="C1429" s="8">
        <v>1.06</v>
      </c>
      <c r="D1429" s="8">
        <f>C1429/394.3/12*1000</f>
        <v>0.2240256995519486</v>
      </c>
      <c r="E1429" s="1"/>
      <c r="F1429" s="1"/>
      <c r="G1429" s="1"/>
      <c r="H1429" s="1"/>
    </row>
    <row r="1430" spans="2:8" ht="12.75">
      <c r="B1430" s="8" t="s">
        <v>50</v>
      </c>
      <c r="C1430" s="8">
        <v>0.43</v>
      </c>
      <c r="D1430" s="8">
        <f>C1430/394.3/12*1000</f>
        <v>0.09087834981824329</v>
      </c>
      <c r="E1430" s="1"/>
      <c r="F1430" s="1"/>
      <c r="G1430" s="1"/>
      <c r="H1430" s="1"/>
    </row>
    <row r="1431" spans="2:8" ht="12.75">
      <c r="B1431" s="14" t="s">
        <v>27</v>
      </c>
      <c r="C1431" s="14">
        <f>5.88+0.92</f>
        <v>6.8</v>
      </c>
      <c r="D1431" s="14">
        <f>C1431/394.3/12*1000</f>
        <v>1.4371459971257081</v>
      </c>
      <c r="E1431" s="1"/>
      <c r="F1431" s="1"/>
      <c r="G1431" s="1"/>
      <c r="H1431" s="1"/>
    </row>
    <row r="1432" spans="2:8" ht="12.75">
      <c r="B1432" s="14"/>
      <c r="C1432" s="14"/>
      <c r="D1432" s="8"/>
      <c r="E1432" s="1"/>
      <c r="F1432" s="1"/>
      <c r="G1432" s="1"/>
      <c r="H1432" s="1"/>
    </row>
    <row r="1433" spans="2:8" ht="12.75">
      <c r="B1433" s="14" t="s">
        <v>29</v>
      </c>
      <c r="C1433" s="23">
        <f>C1421+C1422+C1426+C1431+C1432</f>
        <v>54.46</v>
      </c>
      <c r="D1433" s="23">
        <f>D1421+D1422+D1426+D1431+D1432</f>
        <v>11.509848676980303</v>
      </c>
      <c r="E1433" s="1"/>
      <c r="F1433" s="1"/>
      <c r="G1433" s="1"/>
      <c r="H1433" s="1"/>
    </row>
    <row r="1434" spans="2:8" ht="12.75">
      <c r="B1434" s="8" t="s">
        <v>51</v>
      </c>
      <c r="C1434" s="8">
        <v>5.45</v>
      </c>
      <c r="D1434" s="8">
        <f>C1434/394.3/12*1000</f>
        <v>1.1518302476963396</v>
      </c>
      <c r="E1434" s="1"/>
      <c r="F1434" s="1"/>
      <c r="G1434" s="1"/>
      <c r="H1434" s="1"/>
    </row>
    <row r="1435" spans="2:8" ht="12.75">
      <c r="B1435" s="14" t="s">
        <v>31</v>
      </c>
      <c r="C1435" s="23">
        <f>C1433+C1434</f>
        <v>59.910000000000004</v>
      </c>
      <c r="D1435" s="23">
        <f>D1433+D1434</f>
        <v>12.661678924676643</v>
      </c>
      <c r="E1435" s="1"/>
      <c r="F1435" s="1"/>
      <c r="G1435" s="1"/>
      <c r="H1435" s="1"/>
    </row>
    <row r="1436" spans="2:8" ht="12.75">
      <c r="B1436" s="6" t="s">
        <v>34</v>
      </c>
      <c r="C1436" s="23">
        <f>C1435/C1420/12*1000</f>
        <v>12.661678924676643</v>
      </c>
      <c r="D1436" s="8"/>
      <c r="E1436" s="1"/>
      <c r="F1436" s="1"/>
      <c r="G1436" s="1"/>
      <c r="H1436" s="1"/>
    </row>
    <row r="1437" spans="2:8" ht="12.75">
      <c r="B1437" s="1"/>
      <c r="C1437" s="1"/>
      <c r="D1437" s="1"/>
      <c r="E1437" s="1"/>
      <c r="F1437" s="1"/>
      <c r="G1437" s="1"/>
      <c r="H1437" s="1"/>
    </row>
    <row r="1438" spans="2:8" ht="12.75">
      <c r="B1438" s="1" t="s">
        <v>52</v>
      </c>
      <c r="C1438" s="1"/>
      <c r="D1438" s="1"/>
      <c r="E1438" s="1"/>
      <c r="F1438" s="1"/>
      <c r="G1438" s="1"/>
      <c r="H1438" s="1"/>
    </row>
    <row r="1439" spans="2:8" ht="12.75">
      <c r="B1439" s="1"/>
      <c r="C1439" s="1"/>
      <c r="D1439" s="1"/>
      <c r="E1439" s="1"/>
      <c r="F1439" s="1"/>
      <c r="G1439" s="1"/>
      <c r="H1439" s="1"/>
    </row>
    <row r="1440" spans="2:8" ht="12.75">
      <c r="B1440" s="2" t="s">
        <v>0</v>
      </c>
      <c r="C1440" s="2"/>
      <c r="D1440" s="2"/>
      <c r="E1440" s="1"/>
      <c r="F1440" s="1"/>
      <c r="G1440" s="1"/>
      <c r="H1440" s="1"/>
    </row>
    <row r="1441" spans="2:8" ht="12.75">
      <c r="B1441" s="2" t="s">
        <v>65</v>
      </c>
      <c r="C1441" s="2"/>
      <c r="D1441" s="2"/>
      <c r="E1441" s="1"/>
      <c r="F1441" s="1"/>
      <c r="G1441" s="1"/>
      <c r="H1441" s="1"/>
    </row>
    <row r="1442" spans="2:8" ht="12.75">
      <c r="B1442" s="2" t="s">
        <v>122</v>
      </c>
      <c r="C1442" s="2"/>
      <c r="D1442" s="2"/>
      <c r="E1442" s="1"/>
      <c r="F1442" s="1"/>
      <c r="G1442" s="1"/>
      <c r="H1442" s="1"/>
    </row>
    <row r="1443" spans="2:8" ht="12.75">
      <c r="B1443" s="3"/>
      <c r="C1443" s="3"/>
      <c r="D1443" s="1"/>
      <c r="E1443" s="1"/>
      <c r="F1443" s="1"/>
      <c r="G1443" s="1"/>
      <c r="H1443" s="1"/>
    </row>
    <row r="1444" spans="2:8" ht="12.75">
      <c r="B1444" s="5" t="s">
        <v>4</v>
      </c>
      <c r="C1444" s="31" t="s">
        <v>40</v>
      </c>
      <c r="D1444" s="6" t="s">
        <v>41</v>
      </c>
      <c r="E1444" s="1"/>
      <c r="F1444" s="1"/>
      <c r="G1444" s="1"/>
      <c r="H1444" s="1"/>
    </row>
    <row r="1445" spans="2:8" ht="12.75">
      <c r="B1445" s="6"/>
      <c r="C1445" s="6"/>
      <c r="D1445" s="7"/>
      <c r="E1445" s="1"/>
      <c r="F1445" s="1"/>
      <c r="G1445" s="1"/>
      <c r="H1445" s="1"/>
    </row>
    <row r="1446" spans="2:8" ht="12.75">
      <c r="B1446" s="10" t="s">
        <v>42</v>
      </c>
      <c r="C1446" s="8">
        <v>1735.2</v>
      </c>
      <c r="D1446" s="8"/>
      <c r="E1446" s="1"/>
      <c r="F1446" s="1"/>
      <c r="G1446" s="1"/>
      <c r="H1446" s="1"/>
    </row>
    <row r="1447" spans="2:8" ht="12.75">
      <c r="B1447" s="11" t="s">
        <v>13</v>
      </c>
      <c r="C1447" s="32">
        <v>35.59</v>
      </c>
      <c r="D1447" s="14">
        <f>C1447/1735.2/12*1000</f>
        <v>1.7092169970800675</v>
      </c>
      <c r="E1447" s="1"/>
      <c r="F1447" s="1"/>
      <c r="G1447" s="1"/>
      <c r="H1447" s="1"/>
    </row>
    <row r="1448" spans="2:8" ht="12.75">
      <c r="B1448" s="15" t="s">
        <v>14</v>
      </c>
      <c r="C1448" s="9">
        <f>SUM(C1449:C1451)</f>
        <v>77.67</v>
      </c>
      <c r="D1448" s="9">
        <f>SUM(D1449:D1451)</f>
        <v>3.730117565698478</v>
      </c>
      <c r="E1448" s="1"/>
      <c r="F1448" s="1"/>
      <c r="G1448" s="1"/>
      <c r="H1448" s="1"/>
    </row>
    <row r="1449" spans="2:8" ht="12.75">
      <c r="B1449" s="6" t="s">
        <v>43</v>
      </c>
      <c r="C1449" s="8">
        <f>13.54+18.32</f>
        <v>31.86</v>
      </c>
      <c r="D1449" s="8">
        <f>C1449/1735.2/12*1000</f>
        <v>1.5300829875518671</v>
      </c>
      <c r="E1449" s="1"/>
      <c r="F1449" s="1"/>
      <c r="G1449" s="1"/>
      <c r="H1449" s="1"/>
    </row>
    <row r="1450" spans="2:8" ht="12.75">
      <c r="B1450" s="17" t="s">
        <v>44</v>
      </c>
      <c r="C1450" s="8">
        <v>15.33</v>
      </c>
      <c r="D1450" s="8">
        <f>C1450/1735.2/12*1000</f>
        <v>0.7362263715998155</v>
      </c>
      <c r="E1450" s="1"/>
      <c r="F1450" s="1"/>
      <c r="G1450" s="1"/>
      <c r="H1450" s="1"/>
    </row>
    <row r="1451" spans="2:8" ht="12.75">
      <c r="B1451" s="6" t="s">
        <v>16</v>
      </c>
      <c r="C1451" s="8">
        <v>30.48</v>
      </c>
      <c r="D1451" s="8">
        <f>C1451/1735.2/12*1000</f>
        <v>1.4638082065467957</v>
      </c>
      <c r="E1451" s="1"/>
      <c r="F1451" s="1"/>
      <c r="G1451" s="1"/>
      <c r="H1451" s="1"/>
    </row>
    <row r="1452" spans="2:8" ht="12.75">
      <c r="B1452" s="10" t="s">
        <v>19</v>
      </c>
      <c r="C1452" s="22">
        <f>SUM(C1453:C1457)</f>
        <v>96.46000000000001</v>
      </c>
      <c r="D1452" s="22">
        <f>SUM(D1453:D1457)</f>
        <v>4.6325111418472416</v>
      </c>
      <c r="E1452" s="1"/>
      <c r="F1452" s="1"/>
      <c r="G1452" s="1"/>
      <c r="H1452" s="1"/>
    </row>
    <row r="1453" spans="2:8" ht="12.75">
      <c r="B1453" s="6" t="s">
        <v>45</v>
      </c>
      <c r="C1453" s="8">
        <f>68.9+13.92+6.97</f>
        <v>89.79</v>
      </c>
      <c r="D1453" s="8">
        <f>C1453/1735.2/12*1000</f>
        <v>4.312183033656063</v>
      </c>
      <c r="E1453" s="1"/>
      <c r="F1453" s="1"/>
      <c r="G1453" s="1"/>
      <c r="H1453" s="1"/>
    </row>
    <row r="1454" spans="2:8" ht="12.75">
      <c r="B1454" s="6" t="s">
        <v>46</v>
      </c>
      <c r="C1454" s="8">
        <v>0</v>
      </c>
      <c r="D1454" s="8">
        <f>C1454/1735.2/12*1000</f>
        <v>0</v>
      </c>
      <c r="E1454" s="1"/>
      <c r="F1454" s="1"/>
      <c r="G1454" s="1"/>
      <c r="H1454" s="1"/>
    </row>
    <row r="1455" spans="2:8" ht="12.75">
      <c r="B1455" s="20" t="s">
        <v>47</v>
      </c>
      <c r="C1455" s="8">
        <v>1.33</v>
      </c>
      <c r="D1455" s="8">
        <f>C1455/1735.2/12*1000</f>
        <v>0.0638735208237283</v>
      </c>
      <c r="E1455" s="1"/>
      <c r="F1455" s="1"/>
      <c r="G1455" s="1"/>
      <c r="H1455" s="1"/>
    </row>
    <row r="1456" spans="2:8" ht="12.75">
      <c r="B1456" s="8" t="s">
        <v>48</v>
      </c>
      <c r="C1456" s="8">
        <v>4.25</v>
      </c>
      <c r="D1456" s="8">
        <f>C1456/1735.2/12*1000</f>
        <v>0.20410711541416934</v>
      </c>
      <c r="E1456" s="1"/>
      <c r="F1456" s="1"/>
      <c r="G1456" s="1"/>
      <c r="H1456" s="1"/>
    </row>
    <row r="1457" spans="2:8" ht="12.75">
      <c r="B1457" s="8" t="s">
        <v>50</v>
      </c>
      <c r="C1457" s="8">
        <v>1.09</v>
      </c>
      <c r="D1457" s="8">
        <f>C1457/1735.2/12*1000</f>
        <v>0.052347471953281086</v>
      </c>
      <c r="E1457" s="1"/>
      <c r="F1457" s="1"/>
      <c r="G1457" s="1"/>
      <c r="H1457" s="1"/>
    </row>
    <row r="1458" spans="2:8" ht="12.75">
      <c r="B1458" s="14" t="s">
        <v>27</v>
      </c>
      <c r="C1458" s="14">
        <f>25.88+4.05</f>
        <v>29.93</v>
      </c>
      <c r="D1458" s="14">
        <f>C1458/1735.2/12*1000</f>
        <v>1.4373943445520205</v>
      </c>
      <c r="E1458" s="1"/>
      <c r="F1458" s="1"/>
      <c r="G1458" s="1"/>
      <c r="H1458" s="1"/>
    </row>
    <row r="1459" spans="2:8" ht="12.75">
      <c r="B1459" s="14"/>
      <c r="C1459" s="14"/>
      <c r="D1459" s="8"/>
      <c r="E1459" s="1"/>
      <c r="F1459" s="1"/>
      <c r="G1459" s="1"/>
      <c r="H1459" s="1"/>
    </row>
    <row r="1460" spans="2:8" ht="12.75">
      <c r="B1460" s="14" t="s">
        <v>29</v>
      </c>
      <c r="C1460" s="23">
        <f>C1447+C1448+C1452+C1458+C1459</f>
        <v>239.65000000000003</v>
      </c>
      <c r="D1460" s="23">
        <f>D1447+D1448+D1452+D1458+D1459</f>
        <v>11.509240049177807</v>
      </c>
      <c r="E1460" s="1"/>
      <c r="F1460" s="1"/>
      <c r="G1460" s="1"/>
      <c r="H1460" s="1"/>
    </row>
    <row r="1461" spans="2:8" ht="12.75">
      <c r="B1461" s="8" t="s">
        <v>51</v>
      </c>
      <c r="C1461" s="8">
        <v>23.96</v>
      </c>
      <c r="D1461" s="8">
        <f>C1461/1735.2/12*1000</f>
        <v>1.1506838788996465</v>
      </c>
      <c r="E1461" s="1"/>
      <c r="F1461" s="1"/>
      <c r="G1461" s="1"/>
      <c r="H1461" s="1"/>
    </row>
    <row r="1462" spans="2:8" ht="12.75">
      <c r="B1462" s="14" t="s">
        <v>31</v>
      </c>
      <c r="C1462" s="23">
        <f>C1460+C1461</f>
        <v>263.61</v>
      </c>
      <c r="D1462" s="23">
        <f>D1460+D1461</f>
        <v>12.659923928077454</v>
      </c>
      <c r="E1462" s="1"/>
      <c r="F1462" s="1"/>
      <c r="G1462" s="1"/>
      <c r="H1462" s="1"/>
    </row>
    <row r="1463" spans="2:8" ht="12.75">
      <c r="B1463" s="6" t="s">
        <v>34</v>
      </c>
      <c r="C1463" s="23">
        <f>C1462/C1446/12*1000</f>
        <v>12.659923928077458</v>
      </c>
      <c r="D1463" s="8"/>
      <c r="E1463" s="1"/>
      <c r="F1463" s="1"/>
      <c r="G1463" s="1"/>
      <c r="H1463" s="1"/>
    </row>
    <row r="1464" spans="2:8" ht="12.75">
      <c r="B1464" s="1"/>
      <c r="C1464" s="1"/>
      <c r="D1464" s="1"/>
      <c r="E1464" s="1"/>
      <c r="F1464" s="1"/>
      <c r="G1464" s="1"/>
      <c r="H1464" s="1"/>
    </row>
    <row r="1465" spans="2:8" ht="12.75">
      <c r="B1465" s="1" t="s">
        <v>52</v>
      </c>
      <c r="C1465" s="1"/>
      <c r="D1465" s="1"/>
      <c r="E1465" s="1"/>
      <c r="F1465" s="1"/>
      <c r="G1465" s="1"/>
      <c r="H1465" s="1"/>
    </row>
    <row r="1466" spans="2:8" ht="12.75">
      <c r="B1466" s="1"/>
      <c r="C1466" s="1"/>
      <c r="D1466" s="1"/>
      <c r="E1466" s="1"/>
      <c r="F1466" s="1"/>
      <c r="G1466" s="1"/>
      <c r="H1466" s="1"/>
    </row>
    <row r="1467" spans="2:8" ht="12.75">
      <c r="B1467" s="2" t="s">
        <v>0</v>
      </c>
      <c r="C1467" s="2"/>
      <c r="D1467" s="2"/>
      <c r="E1467" s="1"/>
      <c r="F1467" s="1"/>
      <c r="G1467" s="1"/>
      <c r="H1467" s="1"/>
    </row>
    <row r="1468" spans="2:8" ht="12.75">
      <c r="B1468" s="2" t="s">
        <v>65</v>
      </c>
      <c r="C1468" s="2"/>
      <c r="D1468" s="2"/>
      <c r="E1468" s="1"/>
      <c r="F1468" s="1"/>
      <c r="G1468" s="1"/>
      <c r="H1468" s="1"/>
    </row>
    <row r="1469" spans="2:8" ht="12.75">
      <c r="B1469" s="2" t="s">
        <v>123</v>
      </c>
      <c r="C1469" s="2"/>
      <c r="D1469" s="2"/>
      <c r="E1469" s="1"/>
      <c r="F1469" s="1"/>
      <c r="G1469" s="1"/>
      <c r="H1469" s="1"/>
    </row>
    <row r="1470" spans="2:8" ht="12.75">
      <c r="B1470" s="3"/>
      <c r="C1470" s="3"/>
      <c r="D1470" s="1"/>
      <c r="E1470" s="1"/>
      <c r="F1470" s="1"/>
      <c r="G1470" s="1"/>
      <c r="H1470" s="1"/>
    </row>
    <row r="1471" spans="2:8" ht="12.75">
      <c r="B1471" s="5" t="s">
        <v>4</v>
      </c>
      <c r="C1471" s="31" t="s">
        <v>40</v>
      </c>
      <c r="D1471" s="6" t="s">
        <v>41</v>
      </c>
      <c r="E1471" s="1"/>
      <c r="F1471" s="1"/>
      <c r="G1471" s="1"/>
      <c r="H1471" s="1"/>
    </row>
    <row r="1472" spans="2:8" ht="12.75">
      <c r="B1472" s="6"/>
      <c r="C1472" s="6"/>
      <c r="D1472" s="7"/>
      <c r="E1472" s="1"/>
      <c r="F1472" s="1"/>
      <c r="G1472" s="1"/>
      <c r="H1472" s="1"/>
    </row>
    <row r="1473" spans="2:8" ht="12.75">
      <c r="B1473" s="10" t="s">
        <v>42</v>
      </c>
      <c r="C1473" s="8">
        <v>1701.1</v>
      </c>
      <c r="D1473" s="8"/>
      <c r="E1473" s="1"/>
      <c r="F1473" s="1"/>
      <c r="G1473" s="1"/>
      <c r="H1473" s="1"/>
    </row>
    <row r="1474" spans="2:8" ht="12.75">
      <c r="B1474" s="11" t="s">
        <v>13</v>
      </c>
      <c r="C1474" s="32">
        <v>34.89</v>
      </c>
      <c r="D1474" s="14">
        <f>C1474/1701.1/12*1000</f>
        <v>1.709188172359062</v>
      </c>
      <c r="E1474" s="1"/>
      <c r="F1474" s="1"/>
      <c r="G1474" s="1"/>
      <c r="H1474" s="1"/>
    </row>
    <row r="1475" spans="2:8" ht="12.75">
      <c r="B1475" s="15" t="s">
        <v>14</v>
      </c>
      <c r="C1475" s="9">
        <f>SUM(C1476:C1478)</f>
        <v>86.98</v>
      </c>
      <c r="D1475" s="9">
        <f>SUM(D1476:D1478)</f>
        <v>4.260968393000607</v>
      </c>
      <c r="E1475" s="1"/>
      <c r="F1475" s="1"/>
      <c r="G1475" s="1"/>
      <c r="H1475" s="1"/>
    </row>
    <row r="1476" spans="2:8" ht="12.75">
      <c r="B1476" s="6" t="s">
        <v>43</v>
      </c>
      <c r="C1476" s="8">
        <f>13.27+17.96</f>
        <v>31.23</v>
      </c>
      <c r="D1476" s="8">
        <f>C1476/1701.1/12*1000</f>
        <v>1.5298924225501147</v>
      </c>
      <c r="E1476" s="1"/>
      <c r="F1476" s="1"/>
      <c r="G1476" s="1"/>
      <c r="H1476" s="1"/>
    </row>
    <row r="1477" spans="2:8" ht="12.75">
      <c r="B1477" s="17" t="s">
        <v>44</v>
      </c>
      <c r="C1477" s="8">
        <v>15.03</v>
      </c>
      <c r="D1477" s="8">
        <f>C1477/1701.1/12*1000</f>
        <v>0.736288284051496</v>
      </c>
      <c r="E1477" s="1"/>
      <c r="F1477" s="1"/>
      <c r="G1477" s="1"/>
      <c r="H1477" s="1"/>
    </row>
    <row r="1478" spans="2:8" ht="12.75">
      <c r="B1478" s="6" t="s">
        <v>16</v>
      </c>
      <c r="C1478" s="8">
        <v>40.72</v>
      </c>
      <c r="D1478" s="8">
        <f>C1478/1701.1/12*1000</f>
        <v>1.9947876863989966</v>
      </c>
      <c r="E1478" s="1"/>
      <c r="F1478" s="1"/>
      <c r="G1478" s="1"/>
      <c r="H1478" s="1"/>
    </row>
    <row r="1479" spans="2:8" ht="12.75">
      <c r="B1479" s="10" t="s">
        <v>19</v>
      </c>
      <c r="C1479" s="22">
        <f>SUM(C1480:C1484)</f>
        <v>83.72</v>
      </c>
      <c r="D1479" s="22">
        <f>SUM(D1480:D1484)</f>
        <v>4.101267807105207</v>
      </c>
      <c r="E1479" s="1"/>
      <c r="F1479" s="1"/>
      <c r="G1479" s="1"/>
      <c r="H1479" s="1"/>
    </row>
    <row r="1480" spans="2:8" ht="12.75">
      <c r="B1480" s="6" t="s">
        <v>45</v>
      </c>
      <c r="C1480" s="8">
        <f>59.11+11.94+5.98</f>
        <v>77.03</v>
      </c>
      <c r="D1480" s="8">
        <f>C1480/1701.1/12*1000</f>
        <v>3.773538690651147</v>
      </c>
      <c r="E1480" s="1"/>
      <c r="F1480" s="1"/>
      <c r="G1480" s="1"/>
      <c r="H1480" s="1"/>
    </row>
    <row r="1481" spans="2:8" ht="12.75">
      <c r="B1481" s="6" t="s">
        <v>46</v>
      </c>
      <c r="C1481" s="8">
        <v>0</v>
      </c>
      <c r="D1481" s="8">
        <f>C1481/1701.1/12*1000</f>
        <v>0</v>
      </c>
      <c r="E1481" s="1"/>
      <c r="F1481" s="1"/>
      <c r="G1481" s="1"/>
      <c r="H1481" s="1"/>
    </row>
    <row r="1482" spans="2:8" ht="12.75">
      <c r="B1482" s="20" t="s">
        <v>47</v>
      </c>
      <c r="C1482" s="8">
        <v>1.1</v>
      </c>
      <c r="D1482" s="8">
        <f>C1482/1701.1/12*1000</f>
        <v>0.05388670076225188</v>
      </c>
      <c r="E1482" s="1"/>
      <c r="F1482" s="1"/>
      <c r="G1482" s="1"/>
      <c r="H1482" s="1"/>
    </row>
    <row r="1483" spans="2:8" ht="12.75">
      <c r="B1483" s="8" t="s">
        <v>48</v>
      </c>
      <c r="C1483" s="8">
        <v>4.25</v>
      </c>
      <c r="D1483" s="8">
        <f>C1483/1701.1/12*1000</f>
        <v>0.2081986165814277</v>
      </c>
      <c r="E1483" s="1"/>
      <c r="F1483" s="1"/>
      <c r="G1483" s="1"/>
      <c r="H1483" s="1"/>
    </row>
    <row r="1484" spans="2:8" ht="12.75">
      <c r="B1484" s="8" t="s">
        <v>50</v>
      </c>
      <c r="C1484" s="8">
        <v>1.34</v>
      </c>
      <c r="D1484" s="8">
        <f>C1484/1701.1/12*1000</f>
        <v>0.06564379911037957</v>
      </c>
      <c r="E1484" s="1"/>
      <c r="F1484" s="1"/>
      <c r="G1484" s="1"/>
      <c r="H1484" s="1"/>
    </row>
    <row r="1485" spans="2:8" ht="12.75">
      <c r="B1485" s="14" t="s">
        <v>27</v>
      </c>
      <c r="C1485" s="14">
        <f>25.38+3.97</f>
        <v>29.349999999999998</v>
      </c>
      <c r="D1485" s="14">
        <f>C1485/1701.1/12*1000</f>
        <v>1.4377951521564478</v>
      </c>
      <c r="E1485" s="1"/>
      <c r="F1485" s="1"/>
      <c r="G1485" s="1"/>
      <c r="H1485" s="1"/>
    </row>
    <row r="1486" spans="2:8" ht="12.75">
      <c r="B1486" s="14"/>
      <c r="C1486" s="14"/>
      <c r="D1486" s="8"/>
      <c r="E1486" s="1"/>
      <c r="F1486" s="1"/>
      <c r="G1486" s="1"/>
      <c r="H1486" s="1"/>
    </row>
    <row r="1487" spans="2:8" ht="12.75">
      <c r="B1487" s="14" t="s">
        <v>29</v>
      </c>
      <c r="C1487" s="23">
        <f>C1474+C1475+C1479+C1485+C1486</f>
        <v>234.94</v>
      </c>
      <c r="D1487" s="23">
        <f>D1474+D1475+D1479+D1485+D1486</f>
        <v>11.509219524621322</v>
      </c>
      <c r="E1487" s="1"/>
      <c r="F1487" s="1"/>
      <c r="G1487" s="1"/>
      <c r="H1487" s="1"/>
    </row>
    <row r="1488" spans="2:8" ht="12.75">
      <c r="B1488" s="8" t="s">
        <v>51</v>
      </c>
      <c r="C1488" s="8">
        <v>23.49</v>
      </c>
      <c r="D1488" s="8">
        <f>C1488/1701.1/12*1000</f>
        <v>1.1507260008229967</v>
      </c>
      <c r="E1488" s="1"/>
      <c r="F1488" s="1"/>
      <c r="G1488" s="1"/>
      <c r="H1488" s="1"/>
    </row>
    <row r="1489" spans="2:8" ht="12.75">
      <c r="B1489" s="14" t="s">
        <v>31</v>
      </c>
      <c r="C1489" s="23">
        <f>C1487+C1488</f>
        <v>258.43</v>
      </c>
      <c r="D1489" s="23">
        <f>D1487+D1488</f>
        <v>12.65994552544432</v>
      </c>
      <c r="E1489" s="1"/>
      <c r="F1489" s="1"/>
      <c r="G1489" s="1"/>
      <c r="H1489" s="1"/>
    </row>
    <row r="1490" spans="2:8" ht="12.75">
      <c r="B1490" s="6" t="s">
        <v>34</v>
      </c>
      <c r="C1490" s="23">
        <f>C1489/C1473/12*1000</f>
        <v>12.659945525444321</v>
      </c>
      <c r="D1490" s="8"/>
      <c r="E1490" s="1"/>
      <c r="F1490" s="1"/>
      <c r="G1490" s="1"/>
      <c r="H1490" s="1"/>
    </row>
    <row r="1491" spans="2:8" ht="12.75">
      <c r="B1491" s="1"/>
      <c r="C1491" s="1"/>
      <c r="D1491" s="1"/>
      <c r="E1491" s="1"/>
      <c r="F1491" s="1"/>
      <c r="G1491" s="1"/>
      <c r="H1491" s="1"/>
    </row>
    <row r="1492" spans="2:8" ht="12.75">
      <c r="B1492" s="1" t="s">
        <v>52</v>
      </c>
      <c r="C1492" s="1"/>
      <c r="D1492" s="1"/>
      <c r="E1492" s="1"/>
      <c r="F1492" s="1"/>
      <c r="G1492" s="1"/>
      <c r="H1492" s="1"/>
    </row>
    <row r="1493" spans="2:8" ht="12.75">
      <c r="B1493" s="1"/>
      <c r="C1493" s="1"/>
      <c r="D1493" s="1"/>
      <c r="E1493" s="1"/>
      <c r="F1493" s="1"/>
      <c r="G1493" s="1"/>
      <c r="H1493" s="1"/>
    </row>
    <row r="1494" spans="2:8" ht="12.75">
      <c r="B1494" s="2" t="s">
        <v>0</v>
      </c>
      <c r="C1494" s="2"/>
      <c r="D1494" s="2"/>
      <c r="E1494" s="1"/>
      <c r="F1494" s="1"/>
      <c r="G1494" s="1"/>
      <c r="H1494" s="1"/>
    </row>
    <row r="1495" spans="2:8" ht="12.75">
      <c r="B1495" s="2" t="s">
        <v>65</v>
      </c>
      <c r="C1495" s="2"/>
      <c r="D1495" s="2"/>
      <c r="E1495" s="1"/>
      <c r="F1495" s="1"/>
      <c r="G1495" s="1"/>
      <c r="H1495" s="1"/>
    </row>
    <row r="1496" spans="2:8" ht="12.75">
      <c r="B1496" s="2" t="s">
        <v>124</v>
      </c>
      <c r="C1496" s="2"/>
      <c r="D1496" s="2"/>
      <c r="E1496" s="1"/>
      <c r="F1496" s="1"/>
      <c r="G1496" s="1"/>
      <c r="H1496" s="1"/>
    </row>
    <row r="1497" spans="2:8" ht="12.75">
      <c r="B1497" s="3"/>
      <c r="C1497" s="3"/>
      <c r="D1497" s="1"/>
      <c r="E1497" s="1"/>
      <c r="F1497" s="1"/>
      <c r="G1497" s="1"/>
      <c r="H1497" s="1"/>
    </row>
    <row r="1498" spans="2:8" ht="12.75">
      <c r="B1498" s="5" t="s">
        <v>4</v>
      </c>
      <c r="C1498" s="31" t="s">
        <v>40</v>
      </c>
      <c r="D1498" s="6" t="s">
        <v>41</v>
      </c>
      <c r="E1498" s="1"/>
      <c r="F1498" s="1"/>
      <c r="G1498" s="1"/>
      <c r="H1498" s="1"/>
    </row>
    <row r="1499" spans="2:8" ht="12.75">
      <c r="B1499" s="6"/>
      <c r="C1499" s="6"/>
      <c r="D1499" s="7"/>
      <c r="E1499" s="1"/>
      <c r="F1499" s="1"/>
      <c r="G1499" s="1"/>
      <c r="H1499" s="1"/>
    </row>
    <row r="1500" spans="2:8" ht="12.75">
      <c r="B1500" s="10" t="s">
        <v>42</v>
      </c>
      <c r="C1500" s="8">
        <v>852.1</v>
      </c>
      <c r="D1500" s="8"/>
      <c r="E1500" s="1"/>
      <c r="F1500" s="1"/>
      <c r="G1500" s="1"/>
      <c r="H1500" s="1"/>
    </row>
    <row r="1501" spans="2:8" ht="12.75">
      <c r="B1501" s="11" t="s">
        <v>13</v>
      </c>
      <c r="C1501" s="32">
        <v>17.48</v>
      </c>
      <c r="D1501" s="14">
        <f>C1501/852.1/12*1000</f>
        <v>1.7095020146305206</v>
      </c>
      <c r="E1501" s="1"/>
      <c r="F1501" s="1"/>
      <c r="G1501" s="1"/>
      <c r="H1501" s="1"/>
    </row>
    <row r="1502" spans="2:8" ht="12.75">
      <c r="B1502" s="15" t="s">
        <v>14</v>
      </c>
      <c r="C1502" s="9">
        <f>SUM(C1503:C1505)</f>
        <v>40.300000000000004</v>
      </c>
      <c r="D1502" s="9">
        <f>SUM(D1503:D1505)</f>
        <v>3.9412432030669327</v>
      </c>
      <c r="E1502" s="1"/>
      <c r="F1502" s="1"/>
      <c r="G1502" s="1"/>
      <c r="H1502" s="1"/>
    </row>
    <row r="1503" spans="2:8" ht="12.75">
      <c r="B1503" s="6" t="s">
        <v>43</v>
      </c>
      <c r="C1503" s="8">
        <f>6.65+9</f>
        <v>15.65</v>
      </c>
      <c r="D1503" s="8">
        <f>C1503/852.1/12*1000</f>
        <v>1.5305324101240072</v>
      </c>
      <c r="E1503" s="1"/>
      <c r="F1503" s="1"/>
      <c r="G1503" s="1"/>
      <c r="H1503" s="1"/>
    </row>
    <row r="1504" spans="2:8" ht="12.75">
      <c r="B1504" s="17" t="s">
        <v>44</v>
      </c>
      <c r="C1504" s="8">
        <v>7.53</v>
      </c>
      <c r="D1504" s="8">
        <f>C1504/852.1/12*1000</f>
        <v>0.7364159136251613</v>
      </c>
      <c r="E1504" s="1"/>
      <c r="F1504" s="1"/>
      <c r="G1504" s="1"/>
      <c r="H1504" s="1"/>
    </row>
    <row r="1505" spans="2:8" ht="12.75">
      <c r="B1505" s="6" t="s">
        <v>16</v>
      </c>
      <c r="C1505" s="8">
        <v>17.12</v>
      </c>
      <c r="D1505" s="8">
        <f>C1505/852.1/12*1000</f>
        <v>1.674294879317764</v>
      </c>
      <c r="E1505" s="1"/>
      <c r="F1505" s="1"/>
      <c r="G1505" s="1"/>
      <c r="H1505" s="1"/>
    </row>
    <row r="1506" spans="2:8" ht="12.75">
      <c r="B1506" s="10" t="s">
        <v>19</v>
      </c>
      <c r="C1506" s="22">
        <f>SUM(C1507:C1511)</f>
        <v>45.21</v>
      </c>
      <c r="D1506" s="22">
        <f>SUM(D1507:D1511)</f>
        <v>4.4214294096936975</v>
      </c>
      <c r="E1506" s="1"/>
      <c r="F1506" s="1"/>
      <c r="G1506" s="1"/>
      <c r="H1506" s="1"/>
    </row>
    <row r="1507" spans="2:8" ht="12.75">
      <c r="B1507" s="6" t="s">
        <v>45</v>
      </c>
      <c r="C1507" s="8">
        <f>32.12+6.49+3.25</f>
        <v>41.86</v>
      </c>
      <c r="D1507" s="8">
        <f>C1507/852.1/12*1000</f>
        <v>4.093807456088878</v>
      </c>
      <c r="E1507" s="1"/>
      <c r="F1507" s="1"/>
      <c r="G1507" s="1"/>
      <c r="H1507" s="1"/>
    </row>
    <row r="1508" spans="2:8" ht="12.75">
      <c r="B1508" s="6" t="s">
        <v>46</v>
      </c>
      <c r="C1508" s="8">
        <v>0</v>
      </c>
      <c r="D1508" s="8">
        <f>C1508/852.1/12*1000</f>
        <v>0</v>
      </c>
      <c r="E1508" s="1"/>
      <c r="F1508" s="1"/>
      <c r="G1508" s="1"/>
      <c r="H1508" s="1"/>
    </row>
    <row r="1509" spans="2:8" ht="12.75">
      <c r="B1509" s="20" t="s">
        <v>47</v>
      </c>
      <c r="C1509" s="8">
        <v>0.43</v>
      </c>
      <c r="D1509" s="8">
        <f>C1509/852.1/12*1000</f>
        <v>0.042052967179126086</v>
      </c>
      <c r="E1509" s="1"/>
      <c r="F1509" s="1"/>
      <c r="G1509" s="1"/>
      <c r="H1509" s="1"/>
    </row>
    <row r="1510" spans="2:8" ht="12.75">
      <c r="B1510" s="8" t="s">
        <v>48</v>
      </c>
      <c r="C1510" s="8">
        <v>2.39</v>
      </c>
      <c r="D1510" s="8">
        <f>C1510/852.1/12*1000</f>
        <v>0.23373625943746823</v>
      </c>
      <c r="E1510" s="1"/>
      <c r="F1510" s="1"/>
      <c r="G1510" s="1"/>
      <c r="H1510" s="1"/>
    </row>
    <row r="1511" spans="2:8" ht="12.75">
      <c r="B1511" s="8" t="s">
        <v>50</v>
      </c>
      <c r="C1511" s="8">
        <v>0.53</v>
      </c>
      <c r="D1511" s="8">
        <f>C1511/852.1/12*1000</f>
        <v>0.05183272698822518</v>
      </c>
      <c r="E1511" s="1"/>
      <c r="F1511" s="1"/>
      <c r="G1511" s="1"/>
      <c r="H1511" s="1"/>
    </row>
    <row r="1512" spans="2:8" ht="12.75">
      <c r="B1512" s="14" t="s">
        <v>27</v>
      </c>
      <c r="C1512" s="14">
        <f>12.71+1.99</f>
        <v>14.700000000000001</v>
      </c>
      <c r="D1512" s="14">
        <f>C1512/852.1/12*1000</f>
        <v>1.4376246919375661</v>
      </c>
      <c r="E1512" s="1"/>
      <c r="F1512" s="1"/>
      <c r="G1512" s="1"/>
      <c r="H1512" s="1"/>
    </row>
    <row r="1513" spans="2:8" ht="12.75">
      <c r="B1513" s="14"/>
      <c r="C1513" s="14"/>
      <c r="D1513" s="8"/>
      <c r="E1513" s="1"/>
      <c r="F1513" s="1"/>
      <c r="G1513" s="1"/>
      <c r="H1513" s="1"/>
    </row>
    <row r="1514" spans="2:8" ht="12.75">
      <c r="B1514" s="14" t="s">
        <v>29</v>
      </c>
      <c r="C1514" s="23">
        <f>C1501+C1502+C1506+C1512+C1513</f>
        <v>117.69000000000001</v>
      </c>
      <c r="D1514" s="23">
        <f>D1501+D1502+D1506+D1512+D1513</f>
        <v>11.509799319328717</v>
      </c>
      <c r="E1514" s="1"/>
      <c r="F1514" s="1"/>
      <c r="G1514" s="1"/>
      <c r="H1514" s="1"/>
    </row>
    <row r="1515" spans="2:8" ht="12.75">
      <c r="B1515" s="8" t="s">
        <v>51</v>
      </c>
      <c r="C1515" s="8">
        <v>11.77</v>
      </c>
      <c r="D1515" s="8">
        <f>C1515/852.1/12*1000</f>
        <v>1.1510777295309627</v>
      </c>
      <c r="E1515" s="1"/>
      <c r="F1515" s="1"/>
      <c r="G1515" s="1"/>
      <c r="H1515" s="1"/>
    </row>
    <row r="1516" spans="2:8" ht="12.75">
      <c r="B1516" s="14" t="s">
        <v>31</v>
      </c>
      <c r="C1516" s="23">
        <f>C1514+C1515</f>
        <v>129.46</v>
      </c>
      <c r="D1516" s="23">
        <f>D1514+D1515</f>
        <v>12.66087704885968</v>
      </c>
      <c r="E1516" s="1"/>
      <c r="F1516" s="1"/>
      <c r="G1516" s="1"/>
      <c r="H1516" s="1"/>
    </row>
    <row r="1517" spans="2:8" ht="12.75">
      <c r="B1517" s="6" t="s">
        <v>34</v>
      </c>
      <c r="C1517" s="23">
        <f>C1516/C1500/12*1000</f>
        <v>12.660877048859682</v>
      </c>
      <c r="D1517" s="8"/>
      <c r="E1517" s="1"/>
      <c r="F1517" s="1"/>
      <c r="G1517" s="1"/>
      <c r="H1517" s="1"/>
    </row>
    <row r="1518" spans="2:8" ht="12.75">
      <c r="B1518" s="1"/>
      <c r="C1518" s="1"/>
      <c r="D1518" s="1"/>
      <c r="E1518" s="1"/>
      <c r="F1518" s="1"/>
      <c r="G1518" s="1"/>
      <c r="H1518" s="1"/>
    </row>
    <row r="1519" spans="2:8" ht="12.75">
      <c r="B1519" s="1" t="s">
        <v>52</v>
      </c>
      <c r="C1519" s="1"/>
      <c r="D1519" s="1"/>
      <c r="E1519" s="1"/>
      <c r="F1519" s="1"/>
      <c r="G1519" s="1"/>
      <c r="H1519" s="1"/>
    </row>
    <row r="1520" spans="2:8" ht="12.75">
      <c r="B1520" s="1"/>
      <c r="C1520" s="1"/>
      <c r="D1520" s="1"/>
      <c r="E1520" s="1"/>
      <c r="F1520" s="1"/>
      <c r="G1520" s="1"/>
      <c r="H1520" s="1"/>
    </row>
    <row r="1521" spans="2:8" ht="12.75">
      <c r="B1521" s="2" t="s">
        <v>0</v>
      </c>
      <c r="C1521" s="2"/>
      <c r="D1521" s="2"/>
      <c r="E1521" s="1"/>
      <c r="F1521" s="1"/>
      <c r="G1521" s="1"/>
      <c r="H1521" s="1"/>
    </row>
    <row r="1522" spans="2:8" ht="12.75">
      <c r="B1522" s="2" t="s">
        <v>65</v>
      </c>
      <c r="C1522" s="2"/>
      <c r="D1522" s="2"/>
      <c r="E1522" s="1"/>
      <c r="F1522" s="1"/>
      <c r="G1522" s="1"/>
      <c r="H1522" s="1"/>
    </row>
    <row r="1523" spans="2:8" ht="12.75">
      <c r="B1523" s="2" t="s">
        <v>125</v>
      </c>
      <c r="C1523" s="2"/>
      <c r="D1523" s="2"/>
      <c r="E1523" s="1"/>
      <c r="F1523" s="1"/>
      <c r="G1523" s="1"/>
      <c r="H1523" s="1"/>
    </row>
    <row r="1524" spans="2:8" ht="12.75">
      <c r="B1524" s="3"/>
      <c r="C1524" s="3"/>
      <c r="D1524" s="1"/>
      <c r="E1524" s="1"/>
      <c r="F1524" s="1"/>
      <c r="G1524" s="1"/>
      <c r="H1524" s="1"/>
    </row>
    <row r="1525" spans="2:8" ht="12.75">
      <c r="B1525" s="5" t="s">
        <v>4</v>
      </c>
      <c r="C1525" s="31" t="s">
        <v>40</v>
      </c>
      <c r="D1525" s="6" t="s">
        <v>41</v>
      </c>
      <c r="E1525" s="1"/>
      <c r="F1525" s="1"/>
      <c r="G1525" s="1"/>
      <c r="H1525" s="1"/>
    </row>
    <row r="1526" spans="2:8" ht="12.75">
      <c r="B1526" s="6"/>
      <c r="C1526" s="6"/>
      <c r="D1526" s="7"/>
      <c r="E1526" s="1"/>
      <c r="F1526" s="1"/>
      <c r="G1526" s="1"/>
      <c r="H1526" s="1"/>
    </row>
    <row r="1527" spans="2:8" ht="12.75">
      <c r="B1527" s="10" t="s">
        <v>42</v>
      </c>
      <c r="C1527" s="8">
        <v>895.9</v>
      </c>
      <c r="D1527" s="8"/>
      <c r="E1527" s="1"/>
      <c r="F1527" s="1"/>
      <c r="G1527" s="1"/>
      <c r="H1527" s="1"/>
    </row>
    <row r="1528" spans="2:8" ht="12.75">
      <c r="B1528" s="11" t="s">
        <v>13</v>
      </c>
      <c r="C1528" s="30">
        <v>18.37</v>
      </c>
      <c r="D1528" s="8">
        <f>C1528/895.9/12*1000</f>
        <v>1.7087100494846896</v>
      </c>
      <c r="E1528" s="1"/>
      <c r="F1528" s="1"/>
      <c r="G1528" s="1"/>
      <c r="H1528" s="1"/>
    </row>
    <row r="1529" spans="2:8" ht="12.75">
      <c r="B1529" s="15" t="s">
        <v>14</v>
      </c>
      <c r="C1529" s="9">
        <f>SUM(C1530:C1532)</f>
        <v>42.370000000000005</v>
      </c>
      <c r="D1529" s="9">
        <f>SUM(D1530:D1532)</f>
        <v>3.9411020575213014</v>
      </c>
      <c r="E1529" s="9"/>
      <c r="F1529" s="9"/>
      <c r="G1529" s="1"/>
      <c r="H1529" s="1"/>
    </row>
    <row r="1530" spans="2:8" ht="12.75">
      <c r="B1530" s="6" t="s">
        <v>43</v>
      </c>
      <c r="C1530" s="8">
        <f>6.99+9.46</f>
        <v>16.450000000000003</v>
      </c>
      <c r="D1530" s="8">
        <f>C1530/895.9/12*1000</f>
        <v>1.530118688841761</v>
      </c>
      <c r="E1530" s="1"/>
      <c r="F1530" s="1"/>
      <c r="G1530" s="1"/>
      <c r="H1530" s="1"/>
    </row>
    <row r="1531" spans="2:8" ht="12.75">
      <c r="B1531" s="17" t="s">
        <v>44</v>
      </c>
      <c r="C1531" s="8">
        <v>7.91</v>
      </c>
      <c r="D1531" s="8">
        <f>C1531/895.9/12*1000</f>
        <v>0.7357591993153999</v>
      </c>
      <c r="E1531" s="1"/>
      <c r="F1531" s="1"/>
      <c r="G1531" s="1"/>
      <c r="H1531" s="1"/>
    </row>
    <row r="1532" spans="2:8" ht="12.75">
      <c r="B1532" s="6" t="s">
        <v>16</v>
      </c>
      <c r="C1532" s="8">
        <v>18.01</v>
      </c>
      <c r="D1532" s="8">
        <f>C1532/895.9/12*1000</f>
        <v>1.6752241693641405</v>
      </c>
      <c r="E1532" s="1"/>
      <c r="F1532" s="1"/>
      <c r="G1532" s="1"/>
      <c r="H1532" s="1"/>
    </row>
    <row r="1533" spans="2:8" ht="12.75">
      <c r="B1533" s="10" t="s">
        <v>19</v>
      </c>
      <c r="C1533" s="22">
        <f>SUM(C1534:C1538)</f>
        <v>47.53</v>
      </c>
      <c r="D1533" s="22">
        <f>SUM(D1534:D1538)</f>
        <v>4.4210663392491725</v>
      </c>
      <c r="E1533" s="1"/>
      <c r="F1533" s="1"/>
      <c r="G1533" s="1"/>
      <c r="H1533" s="1"/>
    </row>
    <row r="1534" spans="2:8" ht="12.75">
      <c r="B1534" s="6" t="s">
        <v>45</v>
      </c>
      <c r="C1534" s="8">
        <f>33.78+6.82+3.42</f>
        <v>44.02</v>
      </c>
      <c r="D1534" s="8">
        <f>C1534/895.9/12*1000</f>
        <v>4.094579008073818</v>
      </c>
      <c r="E1534" s="1"/>
      <c r="F1534" s="1"/>
      <c r="G1534" s="1"/>
      <c r="H1534" s="1"/>
    </row>
    <row r="1535" spans="2:8" ht="12.75">
      <c r="B1535" s="6" t="s">
        <v>46</v>
      </c>
      <c r="C1535" s="8">
        <v>0</v>
      </c>
      <c r="D1535" s="8">
        <f>C1535/895.9/12*1000</f>
        <v>0</v>
      </c>
      <c r="E1535" s="1"/>
      <c r="F1535" s="1"/>
      <c r="G1535" s="1"/>
      <c r="H1535" s="1"/>
    </row>
    <row r="1536" spans="2:8" ht="12.75">
      <c r="B1536" s="20" t="s">
        <v>47</v>
      </c>
      <c r="C1536" s="8">
        <v>0.43</v>
      </c>
      <c r="D1536" s="8">
        <f>C1536/895.9/12*1000</f>
        <v>0.03999702347732262</v>
      </c>
      <c r="E1536" s="1"/>
      <c r="F1536" s="1"/>
      <c r="G1536" s="1"/>
      <c r="H1536" s="1"/>
    </row>
    <row r="1537" spans="2:8" ht="12.75">
      <c r="B1537" s="8" t="s">
        <v>48</v>
      </c>
      <c r="C1537" s="8">
        <v>2.39</v>
      </c>
      <c r="D1537" s="8">
        <f>C1537/895.9/12*1000</f>
        <v>0.22230903746697922</v>
      </c>
      <c r="E1537" s="1"/>
      <c r="F1537" s="1"/>
      <c r="G1537" s="1"/>
      <c r="H1537" s="1"/>
    </row>
    <row r="1538" spans="2:8" ht="12.75">
      <c r="B1538" s="8" t="s">
        <v>50</v>
      </c>
      <c r="C1538" s="8">
        <v>0.69</v>
      </c>
      <c r="D1538" s="8">
        <f>C1538/895.9/12*1000</f>
        <v>0.06418127023105256</v>
      </c>
      <c r="E1538" s="1"/>
      <c r="F1538" s="1"/>
      <c r="G1538" s="1"/>
      <c r="H1538" s="1"/>
    </row>
    <row r="1539" spans="2:8" ht="12.75">
      <c r="B1539" s="14" t="s">
        <v>27</v>
      </c>
      <c r="C1539" s="14">
        <f>13.37+2.09</f>
        <v>15.459999999999999</v>
      </c>
      <c r="D1539" s="14">
        <f>C1539/895.9/12*1000</f>
        <v>1.4380325185102503</v>
      </c>
      <c r="E1539" s="1"/>
      <c r="F1539" s="1"/>
      <c r="G1539" s="1"/>
      <c r="H1539" s="1"/>
    </row>
    <row r="1540" spans="2:8" ht="12.75">
      <c r="B1540" s="14"/>
      <c r="C1540" s="14"/>
      <c r="D1540" s="8"/>
      <c r="E1540" s="1"/>
      <c r="F1540" s="1"/>
      <c r="G1540" s="1"/>
      <c r="H1540" s="1"/>
    </row>
    <row r="1541" spans="2:8" ht="12.75">
      <c r="B1541" s="14" t="s">
        <v>29</v>
      </c>
      <c r="C1541" s="23">
        <f>C1528+C1529+C1533+C1539+C1540</f>
        <v>123.73</v>
      </c>
      <c r="D1541" s="23">
        <f>D1528+D1529+D1533+D1539+D1540</f>
        <v>11.508910964765413</v>
      </c>
      <c r="E1541" s="1"/>
      <c r="F1541" s="1"/>
      <c r="G1541" s="1"/>
      <c r="H1541" s="1"/>
    </row>
    <row r="1542" spans="2:8" ht="12.75">
      <c r="B1542" s="8" t="s">
        <v>51</v>
      </c>
      <c r="C1542" s="8">
        <v>12.37</v>
      </c>
      <c r="D1542" s="8">
        <f>C1542/895.9/12*1000</f>
        <v>1.1506120474755366</v>
      </c>
      <c r="E1542" s="1"/>
      <c r="F1542" s="1"/>
      <c r="G1542" s="1"/>
      <c r="H1542" s="1"/>
    </row>
    <row r="1543" spans="2:8" ht="12.75">
      <c r="B1543" s="14" t="s">
        <v>31</v>
      </c>
      <c r="C1543" s="23">
        <f>C1541+C1542</f>
        <v>136.1</v>
      </c>
      <c r="D1543" s="23">
        <f>D1541+D1542</f>
        <v>12.65952301224095</v>
      </c>
      <c r="E1543" s="1"/>
      <c r="F1543" s="1"/>
      <c r="G1543" s="1"/>
      <c r="H1543" s="1"/>
    </row>
    <row r="1544" spans="2:8" ht="12.75">
      <c r="B1544" s="6" t="s">
        <v>34</v>
      </c>
      <c r="C1544" s="23">
        <f>C1543/C1527/12*1000</f>
        <v>12.65952301224095</v>
      </c>
      <c r="D1544" s="8"/>
      <c r="E1544" s="1"/>
      <c r="F1544" s="1"/>
      <c r="G1544" s="1"/>
      <c r="H1544" s="1"/>
    </row>
    <row r="1545" spans="2:8" ht="12.75">
      <c r="B1545" s="1"/>
      <c r="C1545" s="1"/>
      <c r="D1545" s="1"/>
      <c r="E1545" s="1"/>
      <c r="F1545" s="1"/>
      <c r="G1545" s="1"/>
      <c r="H1545" s="1"/>
    </row>
    <row r="1546" spans="2:8" ht="12.75">
      <c r="B1546" s="1" t="s">
        <v>52</v>
      </c>
      <c r="C1546" s="1"/>
      <c r="D1546" s="1"/>
      <c r="E1546" s="1"/>
      <c r="F1546" s="1"/>
      <c r="G1546" s="1"/>
      <c r="H1546" s="1"/>
    </row>
    <row r="1547" spans="2:8" ht="12.75">
      <c r="B1547" s="1"/>
      <c r="C1547" s="1"/>
      <c r="D1547" s="1"/>
      <c r="E1547" s="1"/>
      <c r="F1547" s="1"/>
      <c r="G1547" s="1"/>
      <c r="H1547" s="1"/>
    </row>
    <row r="1548" spans="2:8" ht="12.75">
      <c r="B1548" s="2" t="s">
        <v>0</v>
      </c>
      <c r="C1548" s="2"/>
      <c r="D1548" s="2"/>
      <c r="E1548" s="1"/>
      <c r="F1548" s="1"/>
      <c r="G1548" s="1"/>
      <c r="H1548" s="1"/>
    </row>
    <row r="1549" spans="2:8" ht="12.75">
      <c r="B1549" s="2" t="s">
        <v>65</v>
      </c>
      <c r="C1549" s="2"/>
      <c r="D1549" s="2"/>
      <c r="E1549" s="1"/>
      <c r="F1549" s="1"/>
      <c r="G1549" s="1"/>
      <c r="H1549" s="1"/>
    </row>
    <row r="1550" spans="2:8" ht="12.75">
      <c r="B1550" s="2" t="s">
        <v>126</v>
      </c>
      <c r="C1550" s="2"/>
      <c r="D1550" s="2"/>
      <c r="E1550" s="1"/>
      <c r="F1550" s="1"/>
      <c r="G1550" s="1"/>
      <c r="H1550" s="1"/>
    </row>
    <row r="1551" spans="2:8" ht="12.75">
      <c r="B1551" s="3"/>
      <c r="C1551" s="3"/>
      <c r="D1551" s="1"/>
      <c r="E1551" s="1"/>
      <c r="F1551" s="1"/>
      <c r="G1551" s="1"/>
      <c r="H1551" s="1"/>
    </row>
    <row r="1552" spans="2:8" ht="12.75">
      <c r="B1552" s="5" t="s">
        <v>4</v>
      </c>
      <c r="C1552" s="31" t="s">
        <v>40</v>
      </c>
      <c r="D1552" s="6" t="s">
        <v>41</v>
      </c>
      <c r="E1552" s="1"/>
      <c r="F1552" s="1"/>
      <c r="G1552" s="1"/>
      <c r="H1552" s="1"/>
    </row>
    <row r="1553" spans="2:8" ht="12.75">
      <c r="B1553" s="6"/>
      <c r="C1553" s="6"/>
      <c r="D1553" s="7"/>
      <c r="E1553" s="1"/>
      <c r="F1553" s="1"/>
      <c r="G1553" s="1"/>
      <c r="H1553" s="1"/>
    </row>
    <row r="1554" spans="2:8" ht="12.75">
      <c r="B1554" s="10" t="s">
        <v>42</v>
      </c>
      <c r="C1554" s="8">
        <v>813.1</v>
      </c>
      <c r="D1554" s="8"/>
      <c r="E1554" s="1"/>
      <c r="F1554" s="1"/>
      <c r="G1554" s="1"/>
      <c r="H1554" s="1"/>
    </row>
    <row r="1555" spans="2:8" ht="12.75">
      <c r="B1555" s="11" t="s">
        <v>13</v>
      </c>
      <c r="C1555" s="30">
        <v>16.68</v>
      </c>
      <c r="D1555" s="8">
        <f>C1555/813.1/12*1000</f>
        <v>1.7095068257286927</v>
      </c>
      <c r="E1555" s="1"/>
      <c r="F1555" s="1"/>
      <c r="G1555" s="1"/>
      <c r="H1555" s="1"/>
    </row>
    <row r="1556" spans="2:8" ht="12.75">
      <c r="B1556" s="15" t="s">
        <v>14</v>
      </c>
      <c r="C1556" s="9">
        <f>SUM(C1557:C1559)</f>
        <v>27.38</v>
      </c>
      <c r="D1556" s="9">
        <f>SUM(D1557:D1559)</f>
        <v>2.806132906981511</v>
      </c>
      <c r="E1556" s="1"/>
      <c r="F1556" s="1"/>
      <c r="G1556" s="1"/>
      <c r="H1556" s="1"/>
    </row>
    <row r="1557" spans="2:8" ht="12.75">
      <c r="B1557" s="6" t="s">
        <v>43</v>
      </c>
      <c r="C1557" s="8">
        <f>6.34+8.59</f>
        <v>14.93</v>
      </c>
      <c r="D1557" s="8">
        <f>C1557/813.1/12*1000</f>
        <v>1.530152092813512</v>
      </c>
      <c r="E1557" s="1"/>
      <c r="F1557" s="1"/>
      <c r="G1557" s="1"/>
      <c r="H1557" s="1"/>
    </row>
    <row r="1558" spans="2:8" ht="12.75">
      <c r="B1558" s="17" t="s">
        <v>44</v>
      </c>
      <c r="C1558" s="8">
        <v>7.18</v>
      </c>
      <c r="D1558" s="8">
        <f>C1558/813.1/12*1000</f>
        <v>0.7358668470462838</v>
      </c>
      <c r="E1558" s="1"/>
      <c r="F1558" s="1"/>
      <c r="G1558" s="1"/>
      <c r="H1558" s="1"/>
    </row>
    <row r="1559" spans="2:8" ht="12.75">
      <c r="B1559" s="6" t="s">
        <v>16</v>
      </c>
      <c r="C1559" s="8">
        <v>5.27</v>
      </c>
      <c r="D1559" s="8">
        <f>C1559/813.1/12*1000</f>
        <v>0.5401139671217151</v>
      </c>
      <c r="E1559" s="1"/>
      <c r="F1559" s="1"/>
      <c r="G1559" s="1"/>
      <c r="H1559" s="1"/>
    </row>
    <row r="1560" spans="2:8" ht="12.75">
      <c r="B1560" s="10" t="s">
        <v>19</v>
      </c>
      <c r="C1560" s="22">
        <f>SUM(C1561:C1565)</f>
        <v>54.209999999999994</v>
      </c>
      <c r="D1560" s="22">
        <f>SUM(D1561:D1565)</f>
        <v>5.55589718361825</v>
      </c>
      <c r="E1560" s="1"/>
      <c r="F1560" s="1"/>
      <c r="G1560" s="1"/>
      <c r="H1560" s="1"/>
    </row>
    <row r="1561" spans="2:8" ht="12.75">
      <c r="B1561" s="6" t="s">
        <v>45</v>
      </c>
      <c r="C1561" s="8">
        <f>39.31+7.94+3.98</f>
        <v>51.23</v>
      </c>
      <c r="D1561" s="8">
        <f>C1561/813.1/12*1000</f>
        <v>5.2504816955684</v>
      </c>
      <c r="E1561" s="1"/>
      <c r="F1561" s="1"/>
      <c r="G1561" s="1"/>
      <c r="H1561" s="1"/>
    </row>
    <row r="1562" spans="2:8" ht="12.75">
      <c r="B1562" s="6" t="s">
        <v>46</v>
      </c>
      <c r="C1562" s="8">
        <v>0</v>
      </c>
      <c r="D1562" s="8">
        <f>C1562/813.1/12*1000</f>
        <v>0</v>
      </c>
      <c r="E1562" s="1"/>
      <c r="F1562" s="1"/>
      <c r="G1562" s="1"/>
      <c r="H1562" s="1"/>
    </row>
    <row r="1563" spans="2:8" ht="12.75">
      <c r="B1563" s="20" t="s">
        <v>47</v>
      </c>
      <c r="C1563" s="8">
        <v>0.31</v>
      </c>
      <c r="D1563" s="8">
        <f>C1563/813.1/12*1000</f>
        <v>0.03177140983068913</v>
      </c>
      <c r="E1563" s="1"/>
      <c r="F1563" s="1"/>
      <c r="G1563" s="1"/>
      <c r="H1563" s="1"/>
    </row>
    <row r="1564" spans="2:8" ht="12.75">
      <c r="B1564" s="8" t="s">
        <v>48</v>
      </c>
      <c r="C1564" s="8">
        <v>2.12</v>
      </c>
      <c r="D1564" s="8">
        <f>C1564/813.1/12*1000</f>
        <v>0.2172754478743902</v>
      </c>
      <c r="E1564" s="1"/>
      <c r="F1564" s="1"/>
      <c r="G1564" s="1"/>
      <c r="H1564" s="1"/>
    </row>
    <row r="1565" spans="2:8" ht="12.75">
      <c r="B1565" s="8" t="s">
        <v>50</v>
      </c>
      <c r="C1565" s="8">
        <v>0.55</v>
      </c>
      <c r="D1565" s="8">
        <f>C1565/813.1/12*1000</f>
        <v>0.05636863034477104</v>
      </c>
      <c r="E1565" s="1"/>
      <c r="F1565" s="1"/>
      <c r="G1565" s="1"/>
      <c r="H1565" s="1"/>
    </row>
    <row r="1566" spans="2:8" ht="12.75">
      <c r="B1566" s="14" t="s">
        <v>27</v>
      </c>
      <c r="C1566" s="14">
        <f>12.13+1.9</f>
        <v>14.030000000000001</v>
      </c>
      <c r="D1566" s="14">
        <f>C1566/813.1/12*1000</f>
        <v>1.437912515885705</v>
      </c>
      <c r="E1566" s="1"/>
      <c r="F1566" s="1"/>
      <c r="G1566" s="1"/>
      <c r="H1566" s="1"/>
    </row>
    <row r="1567" spans="2:8" ht="12.75">
      <c r="B1567" s="14"/>
      <c r="C1567" s="14"/>
      <c r="D1567" s="8"/>
      <c r="E1567" s="1"/>
      <c r="F1567" s="1"/>
      <c r="G1567" s="1"/>
      <c r="H1567" s="1"/>
    </row>
    <row r="1568" spans="2:8" ht="12.75">
      <c r="B1568" s="14" t="s">
        <v>29</v>
      </c>
      <c r="C1568" s="23">
        <f>C1555+C1556+C1560+C1566+C1567</f>
        <v>112.3</v>
      </c>
      <c r="D1568" s="23">
        <f>D1555+D1556+D1560+D1566+D1567</f>
        <v>11.50944943221416</v>
      </c>
      <c r="E1568" s="1"/>
      <c r="F1568" s="1"/>
      <c r="G1568" s="1"/>
      <c r="H1568" s="1"/>
    </row>
    <row r="1569" spans="2:8" ht="12.75">
      <c r="B1569" s="8" t="s">
        <v>51</v>
      </c>
      <c r="C1569" s="8">
        <v>11.23</v>
      </c>
      <c r="D1569" s="8">
        <f>C1569/813.1/12*1000</f>
        <v>1.150944943221416</v>
      </c>
      <c r="E1569" s="1"/>
      <c r="F1569" s="1"/>
      <c r="G1569" s="1"/>
      <c r="H1569" s="1"/>
    </row>
    <row r="1570" spans="2:8" ht="12.75">
      <c r="B1570" s="14" t="s">
        <v>31</v>
      </c>
      <c r="C1570" s="23">
        <f>C1568+C1569</f>
        <v>123.53</v>
      </c>
      <c r="D1570" s="23">
        <f>D1568+D1569</f>
        <v>12.660394375435576</v>
      </c>
      <c r="E1570" s="1"/>
      <c r="F1570" s="1"/>
      <c r="G1570" s="1"/>
      <c r="H1570" s="1"/>
    </row>
    <row r="1571" spans="2:8" ht="12.75">
      <c r="B1571" s="6" t="s">
        <v>34</v>
      </c>
      <c r="C1571" s="23">
        <f>C1570/C1554/12*1000</f>
        <v>12.660394375435574</v>
      </c>
      <c r="D1571" s="8"/>
      <c r="E1571" s="1"/>
      <c r="F1571" s="1"/>
      <c r="G1571" s="1"/>
      <c r="H1571" s="1"/>
    </row>
    <row r="1572" spans="2:8" ht="12.75">
      <c r="B1572" s="1"/>
      <c r="C1572" s="1"/>
      <c r="D1572" s="1"/>
      <c r="E1572" s="1"/>
      <c r="F1572" s="1"/>
      <c r="G1572" s="1"/>
      <c r="H1572" s="1"/>
    </row>
    <row r="1573" spans="2:8" ht="12.75">
      <c r="B1573" s="1" t="s">
        <v>52</v>
      </c>
      <c r="C1573" s="1"/>
      <c r="D1573" s="1"/>
      <c r="E1573" s="1"/>
      <c r="F1573" s="1"/>
      <c r="G1573" s="1"/>
      <c r="H1573" s="1"/>
    </row>
    <row r="1574" spans="2:8" ht="12.75">
      <c r="B1574" s="1"/>
      <c r="C1574" s="1"/>
      <c r="D1574" s="1"/>
      <c r="E1574" s="1"/>
      <c r="F1574" s="1"/>
      <c r="G1574" s="1"/>
      <c r="H1574" s="1"/>
    </row>
    <row r="1575" spans="2:8" ht="12.75">
      <c r="B1575" s="2" t="s">
        <v>0</v>
      </c>
      <c r="C1575" s="2"/>
      <c r="D1575" s="2"/>
      <c r="E1575" s="1"/>
      <c r="F1575" s="1"/>
      <c r="G1575" s="1"/>
      <c r="H1575" s="1"/>
    </row>
    <row r="1576" spans="2:8" ht="12.75">
      <c r="B1576" s="2" t="s">
        <v>65</v>
      </c>
      <c r="C1576" s="2"/>
      <c r="D1576" s="2"/>
      <c r="E1576" s="1"/>
      <c r="F1576" s="1"/>
      <c r="G1576" s="1"/>
      <c r="H1576" s="1"/>
    </row>
    <row r="1577" spans="2:8" ht="12.75">
      <c r="B1577" s="2" t="s">
        <v>127</v>
      </c>
      <c r="C1577" s="2"/>
      <c r="D1577" s="2"/>
      <c r="E1577" s="1"/>
      <c r="F1577" s="1"/>
      <c r="G1577" s="1"/>
      <c r="H1577" s="1"/>
    </row>
    <row r="1578" spans="2:8" ht="12.75">
      <c r="B1578" s="3"/>
      <c r="C1578" s="3"/>
      <c r="D1578" s="1"/>
      <c r="E1578" s="1"/>
      <c r="F1578" s="1"/>
      <c r="G1578" s="1"/>
      <c r="H1578" s="1"/>
    </row>
    <row r="1579" spans="2:8" ht="12.75">
      <c r="B1579" s="5" t="s">
        <v>4</v>
      </c>
      <c r="C1579" s="31" t="s">
        <v>40</v>
      </c>
      <c r="D1579" s="6" t="s">
        <v>41</v>
      </c>
      <c r="E1579" s="1"/>
      <c r="F1579" s="1"/>
      <c r="G1579" s="1"/>
      <c r="H1579" s="1"/>
    </row>
    <row r="1580" spans="2:8" ht="12.75">
      <c r="B1580" s="6"/>
      <c r="C1580" s="6"/>
      <c r="D1580" s="7"/>
      <c r="E1580" s="1"/>
      <c r="F1580" s="1"/>
      <c r="G1580" s="1"/>
      <c r="H1580" s="1"/>
    </row>
    <row r="1581" spans="2:8" ht="12.75">
      <c r="B1581" s="10" t="s">
        <v>42</v>
      </c>
      <c r="C1581" s="8">
        <v>1356.7</v>
      </c>
      <c r="D1581" s="8"/>
      <c r="E1581" s="1"/>
      <c r="F1581" s="1"/>
      <c r="G1581" s="1"/>
      <c r="H1581" s="1"/>
    </row>
    <row r="1582" spans="2:8" ht="12.75">
      <c r="B1582" s="11" t="s">
        <v>13</v>
      </c>
      <c r="C1582" s="32">
        <v>27.82</v>
      </c>
      <c r="D1582" s="14">
        <f>C1582/1356.7/12*1000</f>
        <v>1.7088032235080217</v>
      </c>
      <c r="E1582" s="1"/>
      <c r="F1582" s="1"/>
      <c r="G1582" s="1"/>
      <c r="H1582" s="1"/>
    </row>
    <row r="1583" spans="2:8" ht="12.75">
      <c r="B1583" s="15" t="s">
        <v>14</v>
      </c>
      <c r="C1583" s="9">
        <f>SUM(C1584:C1586)</f>
        <v>69.32</v>
      </c>
      <c r="D1583" s="9">
        <f>SUM(D1584:D1586)</f>
        <v>4.257880641753274</v>
      </c>
      <c r="E1583" s="1"/>
      <c r="F1583" s="1"/>
      <c r="G1583" s="1"/>
      <c r="H1583" s="1"/>
    </row>
    <row r="1584" spans="2:8" ht="12.75">
      <c r="B1584" s="6" t="s">
        <v>43</v>
      </c>
      <c r="C1584" s="8">
        <f>10.58+14.33</f>
        <v>24.91</v>
      </c>
      <c r="D1584" s="8">
        <f>C1584/1356.7/12*1000</f>
        <v>1.5300606864696198</v>
      </c>
      <c r="E1584" s="1"/>
      <c r="F1584" s="1"/>
      <c r="G1584" s="1"/>
      <c r="H1584" s="1"/>
    </row>
    <row r="1585" spans="2:8" ht="12.75">
      <c r="B1585" s="17" t="s">
        <v>44</v>
      </c>
      <c r="C1585" s="8">
        <v>11.98</v>
      </c>
      <c r="D1585" s="8">
        <f>C1585/1356.7/12*1000</f>
        <v>0.735854155917545</v>
      </c>
      <c r="E1585" s="1"/>
      <c r="F1585" s="1"/>
      <c r="G1585" s="1"/>
      <c r="H1585" s="1"/>
    </row>
    <row r="1586" spans="2:8" ht="12.75">
      <c r="B1586" s="6" t="s">
        <v>16</v>
      </c>
      <c r="C1586" s="8">
        <v>32.43</v>
      </c>
      <c r="D1586" s="8">
        <f>C1586/1356.7/12*1000</f>
        <v>1.9919657993661088</v>
      </c>
      <c r="E1586" s="1"/>
      <c r="F1586" s="1"/>
      <c r="G1586" s="1"/>
      <c r="H1586" s="1"/>
    </row>
    <row r="1587" spans="2:8" ht="12.75">
      <c r="B1587" s="10" t="s">
        <v>19</v>
      </c>
      <c r="C1587" s="22">
        <f>SUM(C1588:C1593)</f>
        <v>66.82000000000001</v>
      </c>
      <c r="D1587" s="22">
        <f>SUM(D1588:D1593)</f>
        <v>4.10432176113609</v>
      </c>
      <c r="E1587" s="1"/>
      <c r="F1587" s="1"/>
      <c r="G1587" s="1"/>
      <c r="H1587" s="1"/>
    </row>
    <row r="1588" spans="2:8" ht="12.75">
      <c r="B1588" s="6" t="s">
        <v>45</v>
      </c>
      <c r="C1588" s="8">
        <f>47.7+9.63+4.83</f>
        <v>62.160000000000004</v>
      </c>
      <c r="D1588" s="8">
        <f>C1588/1356.7/12*1000</f>
        <v>3.818088007665659</v>
      </c>
      <c r="E1588" s="1"/>
      <c r="F1588" s="1"/>
      <c r="G1588" s="1"/>
      <c r="H1588" s="1"/>
    </row>
    <row r="1589" spans="2:8" ht="12.75">
      <c r="B1589" s="6" t="s">
        <v>46</v>
      </c>
      <c r="C1589" s="8">
        <v>0</v>
      </c>
      <c r="D1589" s="8">
        <f>C1589/1356.7/12*1000</f>
        <v>0</v>
      </c>
      <c r="E1589" s="1"/>
      <c r="F1589" s="1"/>
      <c r="G1589" s="1"/>
      <c r="H1589" s="1"/>
    </row>
    <row r="1590" spans="2:8" ht="12.75">
      <c r="B1590" s="20" t="s">
        <v>47</v>
      </c>
      <c r="C1590" s="8">
        <v>0.31</v>
      </c>
      <c r="D1590" s="8">
        <f>C1590/1356.7/12*1000</f>
        <v>0.019041301196530795</v>
      </c>
      <c r="E1590" s="1"/>
      <c r="F1590" s="1"/>
      <c r="G1590" s="1"/>
      <c r="H1590" s="1"/>
    </row>
    <row r="1591" spans="2:8" ht="12.75">
      <c r="B1591" s="8" t="s">
        <v>48</v>
      </c>
      <c r="C1591" s="8">
        <v>3.19</v>
      </c>
      <c r="D1591" s="8">
        <f>C1591/1356.7/12*1000</f>
        <v>0.1959411316675266</v>
      </c>
      <c r="E1591" s="1"/>
      <c r="F1591" s="1"/>
      <c r="G1591" s="1"/>
      <c r="H1591" s="1"/>
    </row>
    <row r="1592" spans="2:8" ht="12.75">
      <c r="B1592" s="8" t="s">
        <v>49</v>
      </c>
      <c r="C1592" s="8">
        <v>0</v>
      </c>
      <c r="D1592" s="8">
        <f>C1592/1356.7/12*1000</f>
        <v>0</v>
      </c>
      <c r="E1592" s="1"/>
      <c r="F1592" s="1"/>
      <c r="G1592" s="1"/>
      <c r="H1592" s="1"/>
    </row>
    <row r="1593" spans="2:8" ht="12.75">
      <c r="B1593" s="8" t="s">
        <v>50</v>
      </c>
      <c r="C1593" s="8">
        <v>1.16</v>
      </c>
      <c r="D1593" s="8">
        <f>C1593/1356.7/12*1000</f>
        <v>0.0712513206063733</v>
      </c>
      <c r="E1593" s="1"/>
      <c r="F1593" s="1"/>
      <c r="G1593" s="1"/>
      <c r="H1593" s="1"/>
    </row>
    <row r="1594" spans="2:8" ht="12.75">
      <c r="B1594" s="14" t="s">
        <v>27</v>
      </c>
      <c r="C1594" s="14">
        <f>20.24+3.16</f>
        <v>23.4</v>
      </c>
      <c r="D1594" s="14">
        <f>C1594/1356.7/12*1000</f>
        <v>1.4373111225768405</v>
      </c>
      <c r="E1594" s="1"/>
      <c r="F1594" s="1"/>
      <c r="G1594" s="1"/>
      <c r="H1594" s="1"/>
    </row>
    <row r="1595" spans="2:8" ht="12.75">
      <c r="B1595" s="14"/>
      <c r="C1595" s="14"/>
      <c r="D1595" s="8"/>
      <c r="E1595" s="1"/>
      <c r="F1595" s="1"/>
      <c r="G1595" s="1"/>
      <c r="H1595" s="1"/>
    </row>
    <row r="1596" spans="2:8" ht="12.75">
      <c r="B1596" s="14" t="s">
        <v>29</v>
      </c>
      <c r="C1596" s="23">
        <f>C1582+C1583+C1587+C1594+C1595</f>
        <v>187.35999999999999</v>
      </c>
      <c r="D1596" s="23">
        <f>D1582+D1583+D1587+D1594+D1595</f>
        <v>11.508316748974226</v>
      </c>
      <c r="E1596" s="1"/>
      <c r="F1596" s="1"/>
      <c r="G1596" s="1"/>
      <c r="H1596" s="1"/>
    </row>
    <row r="1597" spans="2:8" ht="12.75">
      <c r="B1597" s="8" t="s">
        <v>51</v>
      </c>
      <c r="C1597" s="8">
        <v>18.74</v>
      </c>
      <c r="D1597" s="8">
        <f>C1597/1356.7/12*1000</f>
        <v>1.15107736910641</v>
      </c>
      <c r="E1597" s="1"/>
      <c r="F1597" s="1"/>
      <c r="G1597" s="1"/>
      <c r="H1597" s="1"/>
    </row>
    <row r="1598" spans="2:8" ht="12.75">
      <c r="B1598" s="14" t="s">
        <v>31</v>
      </c>
      <c r="C1598" s="23">
        <f>C1596+C1597</f>
        <v>206.1</v>
      </c>
      <c r="D1598" s="23">
        <f>D1596+D1597</f>
        <v>12.659394118080636</v>
      </c>
      <c r="E1598" s="1"/>
      <c r="F1598" s="1"/>
      <c r="G1598" s="1"/>
      <c r="H1598" s="1"/>
    </row>
    <row r="1599" spans="2:8" ht="12.75">
      <c r="B1599" s="6" t="s">
        <v>34</v>
      </c>
      <c r="C1599" s="23">
        <f>C1598/C1581/12*1000</f>
        <v>12.659394118080634</v>
      </c>
      <c r="D1599" s="8"/>
      <c r="E1599" s="1"/>
      <c r="F1599" s="1"/>
      <c r="G1599" s="1"/>
      <c r="H1599" s="1"/>
    </row>
    <row r="1600" spans="2:8" ht="12.75">
      <c r="B1600" s="1"/>
      <c r="C1600" s="1"/>
      <c r="D1600" s="1"/>
      <c r="E1600" s="1"/>
      <c r="F1600" s="1"/>
      <c r="G1600" s="1"/>
      <c r="H1600" s="1"/>
    </row>
    <row r="1601" spans="2:8" ht="12.75">
      <c r="B1601" s="1" t="s">
        <v>52</v>
      </c>
      <c r="C1601" s="1"/>
      <c r="D1601" s="1"/>
      <c r="E1601" s="1"/>
      <c r="F1601" s="1"/>
      <c r="G1601" s="1"/>
      <c r="H1601" s="1"/>
    </row>
    <row r="1602" spans="2:8" ht="12.75">
      <c r="B1602" s="1"/>
      <c r="C1602" s="1"/>
      <c r="D1602" s="1"/>
      <c r="E1602" s="1"/>
      <c r="F1602" s="1"/>
      <c r="G1602" s="1"/>
      <c r="H1602" s="1"/>
    </row>
    <row r="1603" spans="2:8" ht="12.75">
      <c r="B1603" s="2" t="s">
        <v>0</v>
      </c>
      <c r="C1603" s="2"/>
      <c r="D1603" s="2"/>
      <c r="E1603" s="1"/>
      <c r="F1603" s="1"/>
      <c r="G1603" s="1"/>
      <c r="H1603" s="1"/>
    </row>
    <row r="1604" spans="2:8" ht="12.75">
      <c r="B1604" s="2" t="s">
        <v>65</v>
      </c>
      <c r="C1604" s="2"/>
      <c r="D1604" s="2"/>
      <c r="E1604" s="1"/>
      <c r="F1604" s="1"/>
      <c r="G1604" s="1"/>
      <c r="H1604" s="1"/>
    </row>
    <row r="1605" spans="2:8" ht="12.75">
      <c r="B1605" s="2" t="s">
        <v>128</v>
      </c>
      <c r="C1605" s="2"/>
      <c r="D1605" s="2"/>
      <c r="E1605" s="1"/>
      <c r="F1605" s="1"/>
      <c r="G1605" s="1"/>
      <c r="H1605" s="1"/>
    </row>
    <row r="1606" spans="2:8" ht="12.75">
      <c r="B1606" s="3"/>
      <c r="C1606" s="3"/>
      <c r="D1606" s="1"/>
      <c r="E1606" s="1"/>
      <c r="F1606" s="1"/>
      <c r="G1606" s="1"/>
      <c r="H1606" s="1"/>
    </row>
    <row r="1607" spans="2:8" ht="12.75">
      <c r="B1607" s="5" t="s">
        <v>4</v>
      </c>
      <c r="C1607" s="31" t="s">
        <v>40</v>
      </c>
      <c r="D1607" s="6" t="s">
        <v>41</v>
      </c>
      <c r="E1607" s="1"/>
      <c r="F1607" s="1"/>
      <c r="G1607" s="1"/>
      <c r="H1607" s="1"/>
    </row>
    <row r="1608" spans="2:8" ht="12.75">
      <c r="B1608" s="6"/>
      <c r="C1608" s="6"/>
      <c r="D1608" s="7"/>
      <c r="E1608" s="1"/>
      <c r="F1608" s="1"/>
      <c r="G1608" s="1"/>
      <c r="H1608" s="1"/>
    </row>
    <row r="1609" spans="2:8" ht="12.75">
      <c r="B1609" s="10" t="s">
        <v>42</v>
      </c>
      <c r="C1609" s="8">
        <v>2197.3</v>
      </c>
      <c r="D1609" s="8"/>
      <c r="E1609" s="1"/>
      <c r="F1609" s="1"/>
      <c r="G1609" s="1"/>
      <c r="H1609" s="1"/>
    </row>
    <row r="1610" spans="2:8" ht="12.75">
      <c r="B1610" s="11" t="s">
        <v>13</v>
      </c>
      <c r="C1610" s="30">
        <v>45.06</v>
      </c>
      <c r="D1610" s="8">
        <f>C1610/2197.3/12*1000</f>
        <v>1.7089154871888226</v>
      </c>
      <c r="E1610" s="1"/>
      <c r="F1610" s="1"/>
      <c r="G1610" s="1"/>
      <c r="H1610" s="1"/>
    </row>
    <row r="1611" spans="2:8" ht="12.75">
      <c r="B1611" s="15" t="s">
        <v>14</v>
      </c>
      <c r="C1611" s="9">
        <f>SUM(C1612:C1614)</f>
        <v>130.13</v>
      </c>
      <c r="D1611" s="9">
        <f>SUM(D1612:D1614)</f>
        <v>4.935223531910374</v>
      </c>
      <c r="E1611" s="1"/>
      <c r="F1611" s="1"/>
      <c r="G1611" s="1"/>
      <c r="H1611" s="1"/>
    </row>
    <row r="1612" spans="2:8" ht="12.75">
      <c r="B1612" s="6" t="s">
        <v>43</v>
      </c>
      <c r="C1612" s="8">
        <f>17.14+23.2</f>
        <v>40.34</v>
      </c>
      <c r="D1612" s="8">
        <f>C1612/2197.3/12*1000</f>
        <v>1.5299079172924346</v>
      </c>
      <c r="E1612" s="1"/>
      <c r="F1612" s="1"/>
      <c r="G1612" s="1"/>
      <c r="H1612" s="1"/>
    </row>
    <row r="1613" spans="2:8" ht="12.75">
      <c r="B1613" s="17" t="s">
        <v>44</v>
      </c>
      <c r="C1613" s="8">
        <v>19.41</v>
      </c>
      <c r="D1613" s="8">
        <f>C1613/2197.3/12*1000</f>
        <v>0.7361307058662905</v>
      </c>
      <c r="E1613" s="1"/>
      <c r="F1613" s="1"/>
      <c r="G1613" s="1"/>
      <c r="H1613" s="1"/>
    </row>
    <row r="1614" spans="2:8" ht="12.75">
      <c r="B1614" s="6" t="s">
        <v>16</v>
      </c>
      <c r="C1614" s="8">
        <v>70.38</v>
      </c>
      <c r="D1614" s="8">
        <f>C1614/2197.3/12*1000</f>
        <v>2.6691849087516495</v>
      </c>
      <c r="E1614" s="1"/>
      <c r="F1614" s="1"/>
      <c r="G1614" s="1"/>
      <c r="H1614" s="1"/>
    </row>
    <row r="1615" spans="2:8" ht="12.75">
      <c r="B1615" s="10" t="s">
        <v>19</v>
      </c>
      <c r="C1615" s="22">
        <f>SUM(C1616:C1620)</f>
        <v>90.34999999999998</v>
      </c>
      <c r="D1615" s="22">
        <f>SUM(D1616:D1620)</f>
        <v>3.4265538008768326</v>
      </c>
      <c r="E1615" s="1"/>
      <c r="F1615" s="1"/>
      <c r="G1615" s="1"/>
      <c r="H1615" s="1"/>
    </row>
    <row r="1616" spans="2:8" ht="12.75">
      <c r="B1616" s="6" t="s">
        <v>45</v>
      </c>
      <c r="C1616" s="8">
        <f>62.73+12.67+6.35</f>
        <v>81.74999999999999</v>
      </c>
      <c r="D1616" s="8">
        <f>C1616/2197.3/12*1000</f>
        <v>3.100395940472397</v>
      </c>
      <c r="E1616" s="1"/>
      <c r="F1616" s="1"/>
      <c r="G1616" s="1"/>
      <c r="H1616" s="1"/>
    </row>
    <row r="1617" spans="2:8" ht="12.75">
      <c r="B1617" s="6" t="s">
        <v>46</v>
      </c>
      <c r="C1617" s="8">
        <v>0</v>
      </c>
      <c r="D1617" s="8">
        <f>C1617/2197.3/12*1000</f>
        <v>0</v>
      </c>
      <c r="E1617" s="1"/>
      <c r="F1617" s="1"/>
      <c r="G1617" s="1"/>
      <c r="H1617" s="1"/>
    </row>
    <row r="1618" spans="2:8" ht="12.75">
      <c r="B1618" s="20" t="s">
        <v>47</v>
      </c>
      <c r="C1618" s="8">
        <v>1.36</v>
      </c>
      <c r="D1618" s="8">
        <f>C1618/2197.3/12*1000</f>
        <v>0.05157845234302704</v>
      </c>
      <c r="E1618" s="1"/>
      <c r="F1618" s="1"/>
      <c r="G1618" s="1"/>
      <c r="H1618" s="1"/>
    </row>
    <row r="1619" spans="2:8" ht="12.75">
      <c r="B1619" s="8" t="s">
        <v>48</v>
      </c>
      <c r="C1619" s="8">
        <v>5.31</v>
      </c>
      <c r="D1619" s="8">
        <f>C1619/2197.3/12*1000</f>
        <v>0.20138351613343644</v>
      </c>
      <c r="E1619" s="1"/>
      <c r="F1619" s="1"/>
      <c r="G1619" s="1"/>
      <c r="H1619" s="1"/>
    </row>
    <row r="1620" spans="2:8" ht="12.75">
      <c r="B1620" s="8" t="s">
        <v>50</v>
      </c>
      <c r="C1620" s="8">
        <v>1.9300000000000002</v>
      </c>
      <c r="D1620" s="8">
        <f>C1620/2197.3/12*1000</f>
        <v>0.07319589192797221</v>
      </c>
      <c r="E1620" s="1"/>
      <c r="F1620" s="1"/>
      <c r="G1620" s="1"/>
      <c r="H1620" s="1"/>
    </row>
    <row r="1621" spans="2:8" ht="12.75">
      <c r="B1621" s="14" t="s">
        <v>27</v>
      </c>
      <c r="C1621" s="14">
        <f>32.79+5.12</f>
        <v>37.91</v>
      </c>
      <c r="D1621" s="14">
        <f>C1621/2197.3/12*1000</f>
        <v>1.4377493590618786</v>
      </c>
      <c r="E1621" s="1"/>
      <c r="F1621" s="1"/>
      <c r="G1621" s="1"/>
      <c r="H1621" s="1"/>
    </row>
    <row r="1622" spans="2:8" ht="12.75">
      <c r="B1622" s="14"/>
      <c r="C1622" s="14"/>
      <c r="D1622" s="8"/>
      <c r="E1622" s="1"/>
      <c r="F1622" s="1"/>
      <c r="G1622" s="1"/>
      <c r="H1622" s="1"/>
    </row>
    <row r="1623" spans="2:8" ht="12.75">
      <c r="B1623" s="14" t="s">
        <v>29</v>
      </c>
      <c r="C1623" s="23">
        <f>C1610+C1611+C1615+C1621+C1622</f>
        <v>303.44999999999993</v>
      </c>
      <c r="D1623" s="23">
        <f>D1610+D1611+D1615+D1621+D1622</f>
        <v>11.508442179037909</v>
      </c>
      <c r="E1623" s="1"/>
      <c r="F1623" s="1"/>
      <c r="G1623" s="1"/>
      <c r="H1623" s="1"/>
    </row>
    <row r="1624" spans="2:8" ht="12.75">
      <c r="B1624" s="8" t="s">
        <v>51</v>
      </c>
      <c r="C1624" s="8">
        <v>30.35</v>
      </c>
      <c r="D1624" s="8">
        <f>C1624/2197.3/12*1000</f>
        <v>1.1510338445668167</v>
      </c>
      <c r="E1624" s="1"/>
      <c r="F1624" s="1"/>
      <c r="G1624" s="1"/>
      <c r="H1624" s="1"/>
    </row>
    <row r="1625" spans="2:8" ht="12.75">
      <c r="B1625" s="14" t="s">
        <v>31</v>
      </c>
      <c r="C1625" s="23">
        <f>C1623+C1624</f>
        <v>333.79999999999995</v>
      </c>
      <c r="D1625" s="23">
        <f>D1623+D1624</f>
        <v>12.659476023604725</v>
      </c>
      <c r="E1625" s="1"/>
      <c r="F1625" s="1"/>
      <c r="G1625" s="1"/>
      <c r="H1625" s="1"/>
    </row>
    <row r="1626" spans="2:8" ht="12.75">
      <c r="B1626" s="6" t="s">
        <v>34</v>
      </c>
      <c r="C1626" s="23">
        <f>C1625/C1609/12*1000</f>
        <v>12.659476023604725</v>
      </c>
      <c r="D1626" s="8"/>
      <c r="E1626" s="1"/>
      <c r="F1626" s="1"/>
      <c r="G1626" s="1"/>
      <c r="H1626" s="1"/>
    </row>
    <row r="1627" spans="2:8" ht="12.75">
      <c r="B1627" s="1"/>
      <c r="C1627" s="1"/>
      <c r="D1627" s="1"/>
      <c r="E1627" s="1"/>
      <c r="F1627" s="1"/>
      <c r="G1627" s="1"/>
      <c r="H1627" s="1"/>
    </row>
    <row r="1628" spans="2:8" ht="12.75">
      <c r="B1628" s="1" t="s">
        <v>52</v>
      </c>
      <c r="C1628" s="1"/>
      <c r="D1628" s="1"/>
      <c r="E1628" s="1"/>
      <c r="F1628" s="1"/>
      <c r="G1628" s="1"/>
      <c r="H1628" s="1"/>
    </row>
    <row r="1629" spans="2:8" ht="12.75">
      <c r="B1629" s="1"/>
      <c r="C1629" s="1"/>
      <c r="D1629" s="1"/>
      <c r="E1629" s="1"/>
      <c r="F1629" s="1"/>
      <c r="G1629" s="1"/>
      <c r="H1629" s="1"/>
    </row>
    <row r="1630" spans="2:8" ht="12.75">
      <c r="B1630" s="2" t="s">
        <v>0</v>
      </c>
      <c r="C1630" s="2"/>
      <c r="D1630" s="2"/>
      <c r="E1630" s="1"/>
      <c r="F1630" s="1"/>
      <c r="G1630" s="1"/>
      <c r="H1630" s="1"/>
    </row>
    <row r="1631" spans="2:8" ht="12.75">
      <c r="B1631" s="2" t="s">
        <v>65</v>
      </c>
      <c r="C1631" s="2"/>
      <c r="D1631" s="2"/>
      <c r="E1631" s="1"/>
      <c r="F1631" s="1"/>
      <c r="G1631" s="1"/>
      <c r="H1631" s="1"/>
    </row>
    <row r="1632" spans="2:8" ht="12.75">
      <c r="B1632" s="2" t="s">
        <v>129</v>
      </c>
      <c r="C1632" s="2"/>
      <c r="D1632" s="2"/>
      <c r="E1632" s="1"/>
      <c r="F1632" s="1"/>
      <c r="G1632" s="1"/>
      <c r="H1632" s="1"/>
    </row>
    <row r="1633" spans="2:8" ht="12.75">
      <c r="B1633" s="3"/>
      <c r="C1633" s="3"/>
      <c r="D1633" s="1"/>
      <c r="E1633" s="1"/>
      <c r="F1633" s="1"/>
      <c r="G1633" s="1"/>
      <c r="H1633" s="1"/>
    </row>
    <row r="1634" spans="2:8" ht="12.75">
      <c r="B1634" s="5" t="s">
        <v>4</v>
      </c>
      <c r="C1634" s="31" t="s">
        <v>40</v>
      </c>
      <c r="D1634" s="6" t="s">
        <v>41</v>
      </c>
      <c r="E1634" s="1"/>
      <c r="F1634" s="1"/>
      <c r="G1634" s="1"/>
      <c r="H1634" s="1"/>
    </row>
    <row r="1635" spans="2:8" ht="12.75">
      <c r="B1635" s="6"/>
      <c r="C1635" s="6"/>
      <c r="D1635" s="7"/>
      <c r="E1635" s="1"/>
      <c r="F1635" s="1"/>
      <c r="G1635" s="1"/>
      <c r="H1635" s="1"/>
    </row>
    <row r="1636" spans="2:8" ht="12.75">
      <c r="B1636" s="10" t="s">
        <v>42</v>
      </c>
      <c r="C1636" s="8">
        <v>1069.43</v>
      </c>
      <c r="D1636" s="8"/>
      <c r="E1636" s="1"/>
      <c r="F1636" s="1"/>
      <c r="G1636" s="1"/>
      <c r="H1636" s="1"/>
    </row>
    <row r="1637" spans="2:8" ht="12.75">
      <c r="B1637" s="11" t="s">
        <v>13</v>
      </c>
      <c r="C1637" s="32">
        <v>21.93</v>
      </c>
      <c r="D1637" s="14">
        <f>C1637/1069.43/12*1000</f>
        <v>1.7088542494599928</v>
      </c>
      <c r="E1637" s="1"/>
      <c r="F1637" s="1"/>
      <c r="G1637" s="1"/>
      <c r="H1637" s="1"/>
    </row>
    <row r="1638" spans="2:8" ht="12.75">
      <c r="B1638" s="15" t="s">
        <v>14</v>
      </c>
      <c r="C1638" s="9">
        <f>SUM(C1639:C1641)</f>
        <v>62.92</v>
      </c>
      <c r="D1638" s="9">
        <f>SUM(D1639:D1641)</f>
        <v>4.902923364159723</v>
      </c>
      <c r="E1638" s="1"/>
      <c r="F1638" s="1"/>
      <c r="G1638" s="1"/>
      <c r="H1638" s="1"/>
    </row>
    <row r="1639" spans="2:8" ht="12.75">
      <c r="B1639" s="6" t="s">
        <v>43</v>
      </c>
      <c r="C1639" s="8">
        <f>8.34+11.29</f>
        <v>19.63</v>
      </c>
      <c r="D1639" s="8">
        <f>C1639/1069.43/12*1000</f>
        <v>1.5296310495622276</v>
      </c>
      <c r="E1639" s="1"/>
      <c r="F1639" s="1"/>
      <c r="G1639" s="1"/>
      <c r="H1639" s="1"/>
    </row>
    <row r="1640" spans="2:8" ht="12.75">
      <c r="B1640" s="17" t="s">
        <v>44</v>
      </c>
      <c r="C1640" s="8">
        <v>9.45</v>
      </c>
      <c r="D1640" s="8">
        <f>C1640/1069.43/12*1000</f>
        <v>0.7363735821886425</v>
      </c>
      <c r="E1640" s="1"/>
      <c r="F1640" s="1"/>
      <c r="G1640" s="1"/>
      <c r="H1640" s="1"/>
    </row>
    <row r="1641" spans="2:8" ht="12.75">
      <c r="B1641" s="6" t="s">
        <v>16</v>
      </c>
      <c r="C1641" s="8">
        <v>33.84</v>
      </c>
      <c r="D1641" s="8">
        <f>C1641/1069.43/12*1000</f>
        <v>2.636918732408853</v>
      </c>
      <c r="E1641" s="1"/>
      <c r="F1641" s="1"/>
      <c r="G1641" s="1"/>
      <c r="H1641" s="1"/>
    </row>
    <row r="1642" spans="2:8" ht="12.75">
      <c r="B1642" s="10" t="s">
        <v>19</v>
      </c>
      <c r="C1642" s="22">
        <f>SUM(C1643:C1647)</f>
        <v>44.400000000000006</v>
      </c>
      <c r="D1642" s="22">
        <f>SUM(D1643:D1647)</f>
        <v>3.459786989330765</v>
      </c>
      <c r="E1642" s="1"/>
      <c r="F1642" s="1"/>
      <c r="G1642" s="1"/>
      <c r="H1642" s="1"/>
    </row>
    <row r="1643" spans="2:8" ht="12.75">
      <c r="B1643" s="6" t="s">
        <v>45</v>
      </c>
      <c r="C1643" s="8">
        <f>26.6+5.37+2.69</f>
        <v>34.660000000000004</v>
      </c>
      <c r="D1643" s="8">
        <f>C1643/1069.43/12*1000</f>
        <v>2.7008156993289263</v>
      </c>
      <c r="E1643" s="1"/>
      <c r="F1643" s="1"/>
      <c r="G1643" s="1"/>
      <c r="H1643" s="1"/>
    </row>
    <row r="1644" spans="2:8" ht="12.75">
      <c r="B1644" s="6" t="s">
        <v>46</v>
      </c>
      <c r="C1644" s="8">
        <v>0</v>
      </c>
      <c r="D1644" s="8">
        <f>C1644/1069.43/12*1000</f>
        <v>0</v>
      </c>
      <c r="E1644" s="1"/>
      <c r="F1644" s="1"/>
      <c r="G1644" s="1"/>
      <c r="H1644" s="1"/>
    </row>
    <row r="1645" spans="2:8" ht="12.75">
      <c r="B1645" s="20" t="s">
        <v>47</v>
      </c>
      <c r="C1645" s="8">
        <v>0.09</v>
      </c>
      <c r="D1645" s="8">
        <f>C1645/1069.43/12*1000</f>
        <v>0.007013081735129928</v>
      </c>
      <c r="E1645" s="1"/>
      <c r="F1645" s="1"/>
      <c r="G1645" s="1"/>
      <c r="H1645" s="1"/>
    </row>
    <row r="1646" spans="2:8" ht="12.75">
      <c r="B1646" s="8" t="s">
        <v>48</v>
      </c>
      <c r="C1646" s="8">
        <v>8.76</v>
      </c>
      <c r="D1646" s="8">
        <f>C1646/1069.43/12*1000</f>
        <v>0.682606622219313</v>
      </c>
      <c r="E1646" s="1"/>
      <c r="F1646" s="1"/>
      <c r="G1646" s="1"/>
      <c r="H1646" s="1"/>
    </row>
    <row r="1647" spans="2:8" ht="12.75">
      <c r="B1647" s="8" t="s">
        <v>50</v>
      </c>
      <c r="C1647" s="8">
        <v>0.89</v>
      </c>
      <c r="D1647" s="8">
        <f>C1647/1069.43/12*1000</f>
        <v>0.06935158604739597</v>
      </c>
      <c r="E1647" s="1"/>
      <c r="F1647" s="1"/>
      <c r="G1647" s="1"/>
      <c r="H1647" s="1"/>
    </row>
    <row r="1648" spans="2:8" ht="12.75">
      <c r="B1648" s="14" t="s">
        <v>27</v>
      </c>
      <c r="C1648" s="14">
        <f>15.96+2.49</f>
        <v>18.450000000000003</v>
      </c>
      <c r="D1648" s="14">
        <f>C1648/1069.43/12*1000</f>
        <v>1.4376817557016355</v>
      </c>
      <c r="E1648" s="1"/>
      <c r="F1648" s="1"/>
      <c r="G1648" s="1"/>
      <c r="H1648" s="1"/>
    </row>
    <row r="1649" spans="2:8" ht="12.75">
      <c r="B1649" s="14"/>
      <c r="C1649" s="14"/>
      <c r="D1649" s="8"/>
      <c r="E1649" s="1"/>
      <c r="F1649" s="1"/>
      <c r="G1649" s="1"/>
      <c r="H1649" s="1"/>
    </row>
    <row r="1650" spans="2:8" ht="12.75">
      <c r="B1650" s="14" t="s">
        <v>29</v>
      </c>
      <c r="C1650" s="23">
        <f>C1637+C1638+C1642+C1648+C1649</f>
        <v>147.7</v>
      </c>
      <c r="D1650" s="23">
        <f>D1637+D1638+D1642+D1648+D1649</f>
        <v>11.509246358652117</v>
      </c>
      <c r="E1650" s="1"/>
      <c r="F1650" s="1"/>
      <c r="G1650" s="1"/>
      <c r="H1650" s="1"/>
    </row>
    <row r="1651" spans="2:8" ht="12.75">
      <c r="B1651" s="8" t="s">
        <v>51</v>
      </c>
      <c r="C1651" s="8">
        <v>14.77</v>
      </c>
      <c r="D1651" s="8">
        <f>C1651/1069.43/12*1000</f>
        <v>1.1509246358652117</v>
      </c>
      <c r="E1651" s="1"/>
      <c r="F1651" s="1"/>
      <c r="G1651" s="1"/>
      <c r="H1651" s="1"/>
    </row>
    <row r="1652" spans="2:8" ht="12.75">
      <c r="B1652" s="14" t="s">
        <v>31</v>
      </c>
      <c r="C1652" s="23">
        <f>C1650+C1651</f>
        <v>162.47</v>
      </c>
      <c r="D1652" s="23">
        <f>D1650+D1651</f>
        <v>12.660170994517328</v>
      </c>
      <c r="E1652" s="1"/>
      <c r="F1652" s="1"/>
      <c r="G1652" s="1"/>
      <c r="H1652" s="1"/>
    </row>
    <row r="1653" spans="2:8" ht="12.75">
      <c r="B1653" s="6" t="s">
        <v>34</v>
      </c>
      <c r="C1653" s="23">
        <f>C1652/C1636/12*1000</f>
        <v>12.660170994517328</v>
      </c>
      <c r="D1653" s="8"/>
      <c r="E1653" s="1"/>
      <c r="F1653" s="1"/>
      <c r="G1653" s="1"/>
      <c r="H1653" s="1"/>
    </row>
    <row r="1654" spans="2:8" ht="12.75">
      <c r="B1654" s="1"/>
      <c r="C1654" s="1"/>
      <c r="D1654" s="1"/>
      <c r="E1654" s="1"/>
      <c r="F1654" s="1"/>
      <c r="G1654" s="1"/>
      <c r="H1654" s="1"/>
    </row>
    <row r="1655" spans="2:8" ht="12.75">
      <c r="B1655" s="1" t="s">
        <v>52</v>
      </c>
      <c r="C1655" s="1"/>
      <c r="D1655" s="1"/>
      <c r="E1655" s="1"/>
      <c r="F1655" s="1"/>
      <c r="G1655" s="1"/>
      <c r="H1655" s="1"/>
    </row>
    <row r="1656" spans="2:8" ht="12.75">
      <c r="B1656" s="1"/>
      <c r="C1656" s="1"/>
      <c r="D1656" s="1"/>
      <c r="E1656" s="1"/>
      <c r="F1656" s="1"/>
      <c r="G1656" s="1"/>
      <c r="H1656" s="1"/>
    </row>
    <row r="1657" spans="2:8" ht="12.75">
      <c r="B1657" s="2" t="s">
        <v>0</v>
      </c>
      <c r="C1657" s="2"/>
      <c r="D1657" s="2"/>
      <c r="E1657" s="1"/>
      <c r="F1657" s="1"/>
      <c r="G1657" s="1"/>
      <c r="H1657" s="1"/>
    </row>
    <row r="1658" spans="2:8" ht="12.75">
      <c r="B1658" s="2" t="s">
        <v>65</v>
      </c>
      <c r="C1658" s="2"/>
      <c r="D1658" s="2"/>
      <c r="E1658" s="1"/>
      <c r="F1658" s="1"/>
      <c r="G1658" s="1"/>
      <c r="H1658" s="1"/>
    </row>
    <row r="1659" spans="2:8" ht="12.75">
      <c r="B1659" s="2" t="s">
        <v>130</v>
      </c>
      <c r="C1659" s="2"/>
      <c r="D1659" s="2"/>
      <c r="E1659" s="1"/>
      <c r="F1659" s="1"/>
      <c r="G1659" s="1"/>
      <c r="H1659" s="1"/>
    </row>
    <row r="1660" spans="2:8" ht="12.75">
      <c r="B1660" s="3"/>
      <c r="C1660" s="3"/>
      <c r="D1660" s="1"/>
      <c r="E1660" s="1"/>
      <c r="F1660" s="1"/>
      <c r="G1660" s="1"/>
      <c r="H1660" s="1"/>
    </row>
    <row r="1661" spans="2:8" ht="12.75">
      <c r="B1661" s="5" t="s">
        <v>4</v>
      </c>
      <c r="C1661" s="31" t="s">
        <v>40</v>
      </c>
      <c r="D1661" s="6" t="s">
        <v>41</v>
      </c>
      <c r="E1661" s="1"/>
      <c r="F1661" s="1"/>
      <c r="G1661" s="1"/>
      <c r="H1661" s="1"/>
    </row>
    <row r="1662" spans="2:8" ht="12.75">
      <c r="B1662" s="6"/>
      <c r="C1662" s="6"/>
      <c r="D1662" s="7"/>
      <c r="E1662" s="1"/>
      <c r="F1662" s="1"/>
      <c r="G1662" s="1"/>
      <c r="H1662" s="1"/>
    </row>
    <row r="1663" spans="2:8" ht="12.75">
      <c r="B1663" s="10" t="s">
        <v>42</v>
      </c>
      <c r="C1663" s="8">
        <v>2024.5</v>
      </c>
      <c r="D1663" s="8"/>
      <c r="E1663" s="1"/>
      <c r="F1663" s="1"/>
      <c r="G1663" s="1"/>
      <c r="H1663" s="1"/>
    </row>
    <row r="1664" spans="2:8" ht="12.75">
      <c r="B1664" s="11" t="s">
        <v>13</v>
      </c>
      <c r="C1664" s="32">
        <v>41.52</v>
      </c>
      <c r="D1664" s="14">
        <f>C1664/2024.5/12*1000</f>
        <v>1.7090639664114597</v>
      </c>
      <c r="E1664" s="1"/>
      <c r="F1664" s="1"/>
      <c r="G1664" s="1"/>
      <c r="H1664" s="1"/>
    </row>
    <row r="1665" spans="2:8" ht="12.75">
      <c r="B1665" s="15" t="s">
        <v>14</v>
      </c>
      <c r="C1665" s="9">
        <f>SUM(C1666:C1668)</f>
        <v>118.07000000000001</v>
      </c>
      <c r="D1665" s="9">
        <f>SUM(D1666:D1668)</f>
        <v>4.860047748415246</v>
      </c>
      <c r="E1665" s="1"/>
      <c r="F1665" s="1"/>
      <c r="G1665" s="1"/>
      <c r="H1665" s="1"/>
    </row>
    <row r="1666" spans="2:8" ht="12.75">
      <c r="B1666" s="6" t="s">
        <v>43</v>
      </c>
      <c r="C1666" s="8">
        <f>15.79+21.38</f>
        <v>37.17</v>
      </c>
      <c r="D1666" s="8">
        <f>C1666/2024.5/12*1000</f>
        <v>1.5300074092368485</v>
      </c>
      <c r="E1666" s="1"/>
      <c r="F1666" s="1"/>
      <c r="G1666" s="1"/>
      <c r="H1666" s="1"/>
    </row>
    <row r="1667" spans="2:8" ht="12.75">
      <c r="B1667" s="17" t="s">
        <v>44</v>
      </c>
      <c r="C1667" s="8">
        <v>17.88</v>
      </c>
      <c r="D1667" s="8">
        <f>C1667/2024.5/12*1000</f>
        <v>0.7359841936280562</v>
      </c>
      <c r="E1667" s="1"/>
      <c r="F1667" s="1"/>
      <c r="G1667" s="1"/>
      <c r="H1667" s="1"/>
    </row>
    <row r="1668" spans="2:8" ht="12.75">
      <c r="B1668" s="6" t="s">
        <v>16</v>
      </c>
      <c r="C1668" s="8">
        <v>63.02</v>
      </c>
      <c r="D1668" s="8">
        <f>C1668/2024.5/12*1000</f>
        <v>2.5940561455503417</v>
      </c>
      <c r="E1668" s="1"/>
      <c r="F1668" s="1"/>
      <c r="G1668" s="1"/>
      <c r="H1668" s="1"/>
    </row>
    <row r="1669" spans="2:8" ht="12.75">
      <c r="B1669" s="10" t="s">
        <v>19</v>
      </c>
      <c r="C1669" s="22">
        <f>SUM(C1670:C1674)</f>
        <v>85.07</v>
      </c>
      <c r="D1669" s="22">
        <f>SUM(D1670:D1674)</f>
        <v>3.501687659504404</v>
      </c>
      <c r="E1669" s="1"/>
      <c r="F1669" s="1"/>
      <c r="G1669" s="1"/>
      <c r="H1669" s="1"/>
    </row>
    <row r="1670" spans="2:8" ht="12.75">
      <c r="B1670" s="6" t="s">
        <v>45</v>
      </c>
      <c r="C1670" s="8">
        <f>58.32+11.78+5.9</f>
        <v>76</v>
      </c>
      <c r="D1670" s="8">
        <f>C1670/2024.5/12*1000</f>
        <v>3.128344447188606</v>
      </c>
      <c r="E1670" s="1"/>
      <c r="F1670" s="1"/>
      <c r="G1670" s="1"/>
      <c r="H1670" s="1"/>
    </row>
    <row r="1671" spans="2:8" ht="12.75">
      <c r="B1671" s="6" t="s">
        <v>46</v>
      </c>
      <c r="C1671" s="8">
        <v>0</v>
      </c>
      <c r="D1671" s="8">
        <f>C1671/2024.5/12*1000</f>
        <v>0</v>
      </c>
      <c r="E1671" s="1"/>
      <c r="F1671" s="1"/>
      <c r="G1671" s="1"/>
      <c r="H1671" s="1"/>
    </row>
    <row r="1672" spans="2:8" ht="12.75">
      <c r="B1672" s="20" t="s">
        <v>47</v>
      </c>
      <c r="C1672" s="8">
        <v>1.24</v>
      </c>
      <c r="D1672" s="8">
        <f>C1672/2024.5/12*1000</f>
        <v>0.05104140940149832</v>
      </c>
      <c r="E1672" s="1"/>
      <c r="F1672" s="1"/>
      <c r="G1672" s="1"/>
      <c r="H1672" s="1"/>
    </row>
    <row r="1673" spans="2:8" ht="12.75">
      <c r="B1673" s="8" t="s">
        <v>48</v>
      </c>
      <c r="C1673" s="8">
        <v>6.37</v>
      </c>
      <c r="D1673" s="8">
        <f>C1673/2024.5/12*1000</f>
        <v>0.2622046595867292</v>
      </c>
      <c r="E1673" s="1"/>
      <c r="F1673" s="1"/>
      <c r="G1673" s="1"/>
      <c r="H1673" s="1"/>
    </row>
    <row r="1674" spans="2:8" ht="12.75">
      <c r="B1674" s="8" t="s">
        <v>50</v>
      </c>
      <c r="C1674" s="8">
        <v>1.46</v>
      </c>
      <c r="D1674" s="8">
        <f>C1674/2024.5/12*1000</f>
        <v>0.060097143327570594</v>
      </c>
      <c r="E1674" s="1"/>
      <c r="F1674" s="1"/>
      <c r="G1674" s="1"/>
      <c r="H1674" s="1"/>
    </row>
    <row r="1675" spans="2:8" ht="12.75">
      <c r="B1675" s="14" t="s">
        <v>27</v>
      </c>
      <c r="C1675" s="14">
        <f>30.2+4.72</f>
        <v>34.92</v>
      </c>
      <c r="D1675" s="14">
        <f>C1675/2024.5/12*1000</f>
        <v>1.4373919486292914</v>
      </c>
      <c r="E1675" s="1"/>
      <c r="F1675" s="1"/>
      <c r="G1675" s="1"/>
      <c r="H1675" s="1"/>
    </row>
    <row r="1676" spans="2:8" ht="12.75">
      <c r="B1676" s="14"/>
      <c r="C1676" s="14"/>
      <c r="D1676" s="8"/>
      <c r="E1676" s="1"/>
      <c r="F1676" s="1"/>
      <c r="G1676" s="1"/>
      <c r="H1676" s="1"/>
    </row>
    <row r="1677" spans="2:8" ht="12.75">
      <c r="B1677" s="14" t="s">
        <v>29</v>
      </c>
      <c r="C1677" s="23">
        <f>C1664+C1665+C1669+C1675+C1676</f>
        <v>279.58</v>
      </c>
      <c r="D1677" s="23">
        <f>D1664+D1665+D1669+D1675+D1676</f>
        <v>11.5081913229604</v>
      </c>
      <c r="E1677" s="1"/>
      <c r="F1677" s="1"/>
      <c r="G1677" s="1"/>
      <c r="H1677" s="1"/>
    </row>
    <row r="1678" spans="2:8" ht="12.75">
      <c r="B1678" s="8" t="s">
        <v>51</v>
      </c>
      <c r="C1678" s="8">
        <v>27.96</v>
      </c>
      <c r="D1678" s="8">
        <f>C1678/2024.5/12*1000</f>
        <v>1.1509014571499137</v>
      </c>
      <c r="E1678" s="1"/>
      <c r="F1678" s="1"/>
      <c r="G1678" s="1"/>
      <c r="H1678" s="1"/>
    </row>
    <row r="1679" spans="2:8" ht="12.75">
      <c r="B1679" s="14" t="s">
        <v>31</v>
      </c>
      <c r="C1679" s="23">
        <f>C1677+C1678</f>
        <v>307.53999999999996</v>
      </c>
      <c r="D1679" s="23">
        <f>D1677+D1678</f>
        <v>12.659092780110313</v>
      </c>
      <c r="E1679" s="1"/>
      <c r="F1679" s="1"/>
      <c r="G1679" s="1"/>
      <c r="H1679" s="1"/>
    </row>
    <row r="1680" spans="2:8" ht="12.75">
      <c r="B1680" s="6" t="s">
        <v>34</v>
      </c>
      <c r="C1680" s="23">
        <f>C1679/C1663/12*1000</f>
        <v>12.659092780110313</v>
      </c>
      <c r="D1680" s="8"/>
      <c r="E1680" s="1"/>
      <c r="F1680" s="1"/>
      <c r="G1680" s="1"/>
      <c r="H1680" s="1"/>
    </row>
    <row r="1681" spans="2:8" ht="12.75">
      <c r="B1681" s="1"/>
      <c r="C1681" s="1"/>
      <c r="D1681" s="1"/>
      <c r="E1681" s="1"/>
      <c r="F1681" s="1"/>
      <c r="G1681" s="1"/>
      <c r="H1681" s="1"/>
    </row>
    <row r="1682" spans="2:8" ht="12.75">
      <c r="B1682" s="1" t="s">
        <v>52</v>
      </c>
      <c r="C1682" s="1"/>
      <c r="D1682" s="1"/>
      <c r="E1682" s="1"/>
      <c r="F1682" s="1"/>
      <c r="G1682" s="1"/>
      <c r="H1682" s="1"/>
    </row>
    <row r="1683" spans="2:8" ht="12.75">
      <c r="B1683" s="1"/>
      <c r="C1683" s="1"/>
      <c r="D1683" s="1"/>
      <c r="E1683" s="1"/>
      <c r="F1683" s="1"/>
      <c r="G1683" s="1"/>
      <c r="H1683" s="1"/>
    </row>
    <row r="1684" spans="2:8" ht="12.75">
      <c r="B1684" s="2" t="s">
        <v>0</v>
      </c>
      <c r="C1684" s="2"/>
      <c r="D1684" s="2"/>
      <c r="E1684" s="1"/>
      <c r="F1684" s="1"/>
      <c r="G1684" s="1"/>
      <c r="H1684" s="1"/>
    </row>
    <row r="1685" spans="2:8" ht="12.75">
      <c r="B1685" s="2" t="s">
        <v>65</v>
      </c>
      <c r="C1685" s="2"/>
      <c r="D1685" s="2"/>
      <c r="E1685" s="1"/>
      <c r="F1685" s="1"/>
      <c r="G1685" s="1"/>
      <c r="H1685" s="1"/>
    </row>
    <row r="1686" spans="2:8" ht="12.75">
      <c r="B1686" s="2" t="s">
        <v>131</v>
      </c>
      <c r="C1686" s="2"/>
      <c r="D1686" s="2"/>
      <c r="E1686" s="1"/>
      <c r="F1686" s="1"/>
      <c r="G1686" s="1"/>
      <c r="H1686" s="1"/>
    </row>
    <row r="1687" spans="2:8" ht="12.75">
      <c r="B1687" s="3"/>
      <c r="C1687" s="3"/>
      <c r="D1687" s="1"/>
      <c r="E1687" s="1"/>
      <c r="F1687" s="1"/>
      <c r="G1687" s="1"/>
      <c r="H1687" s="1"/>
    </row>
    <row r="1688" spans="2:8" ht="12.75">
      <c r="B1688" s="5" t="s">
        <v>4</v>
      </c>
      <c r="C1688" s="31" t="s">
        <v>40</v>
      </c>
      <c r="D1688" s="6" t="s">
        <v>41</v>
      </c>
      <c r="E1688" s="1"/>
      <c r="F1688" s="1"/>
      <c r="G1688" s="1"/>
      <c r="H1688" s="1"/>
    </row>
    <row r="1689" spans="2:8" ht="12.75">
      <c r="B1689" s="6"/>
      <c r="C1689" s="6"/>
      <c r="D1689" s="7"/>
      <c r="E1689" s="1"/>
      <c r="F1689" s="1"/>
      <c r="G1689" s="1"/>
      <c r="H1689" s="1"/>
    </row>
    <row r="1690" spans="2:8" ht="12.75">
      <c r="B1690" s="10" t="s">
        <v>42</v>
      </c>
      <c r="C1690" s="8">
        <v>2019.8</v>
      </c>
      <c r="D1690" s="8"/>
      <c r="E1690" s="1"/>
      <c r="F1690" s="1"/>
      <c r="G1690" s="1"/>
      <c r="H1690" s="1"/>
    </row>
    <row r="1691" spans="2:8" ht="12.75">
      <c r="B1691" s="11" t="s">
        <v>13</v>
      </c>
      <c r="C1691" s="30">
        <v>44.93</v>
      </c>
      <c r="D1691" s="8">
        <f>C1691/2019.8/12*1000</f>
        <v>1.853731392547117</v>
      </c>
      <c r="E1691" s="1"/>
      <c r="F1691" s="1"/>
      <c r="G1691" s="1"/>
      <c r="H1691" s="1"/>
    </row>
    <row r="1692" spans="2:8" ht="12.75">
      <c r="B1692" s="15" t="s">
        <v>14</v>
      </c>
      <c r="C1692" s="9">
        <f>SUM(C1693:C1696)</f>
        <v>137.23999999999998</v>
      </c>
      <c r="D1692" s="9">
        <f>SUM(D1693:D1696)</f>
        <v>5.662276793081823</v>
      </c>
      <c r="E1692" s="1"/>
      <c r="F1692" s="1"/>
      <c r="G1692" s="1"/>
      <c r="H1692" s="1"/>
    </row>
    <row r="1693" spans="2:8" ht="12.75">
      <c r="B1693" s="6" t="s">
        <v>43</v>
      </c>
      <c r="C1693" s="8">
        <f>15.76+21.33</f>
        <v>37.089999999999996</v>
      </c>
      <c r="D1693" s="8">
        <f>C1693/2019.8/12*1000</f>
        <v>1.530267023137604</v>
      </c>
      <c r="E1693" s="1"/>
      <c r="F1693" s="1"/>
      <c r="G1693" s="1"/>
      <c r="H1693" s="1"/>
    </row>
    <row r="1694" spans="2:8" ht="12.75">
      <c r="B1694" s="17" t="s">
        <v>44</v>
      </c>
      <c r="C1694" s="8">
        <v>17.84</v>
      </c>
      <c r="D1694" s="8">
        <f>C1694/2019.8/12*1000</f>
        <v>0.7360464732481764</v>
      </c>
      <c r="E1694" s="1"/>
      <c r="F1694" s="1"/>
      <c r="G1694" s="1"/>
      <c r="H1694" s="1"/>
    </row>
    <row r="1695" spans="2:8" ht="12.75">
      <c r="B1695" s="6" t="s">
        <v>16</v>
      </c>
      <c r="C1695" s="8">
        <v>72.71</v>
      </c>
      <c r="D1695" s="8">
        <f>C1695/2019.8/12*1000</f>
        <v>2.999884477010925</v>
      </c>
      <c r="E1695" s="1"/>
      <c r="F1695" s="1"/>
      <c r="G1695" s="1"/>
      <c r="H1695" s="1"/>
    </row>
    <row r="1696" spans="2:8" ht="12.75">
      <c r="B1696" s="6" t="s">
        <v>64</v>
      </c>
      <c r="C1696" s="8">
        <v>9.6</v>
      </c>
      <c r="D1696" s="8">
        <f>C1696/2019.8/12*1000</f>
        <v>0.3960788196851173</v>
      </c>
      <c r="E1696" s="1"/>
      <c r="F1696" s="1"/>
      <c r="G1696" s="1"/>
      <c r="H1696" s="1"/>
    </row>
    <row r="1697" spans="2:8" ht="12.75">
      <c r="B1697" s="10" t="s">
        <v>19</v>
      </c>
      <c r="C1697" s="22">
        <f>SUM(C1698:C1702)</f>
        <v>85.12</v>
      </c>
      <c r="D1697" s="22">
        <f>SUM(D1698:D1702)</f>
        <v>3.511898867874707</v>
      </c>
      <c r="E1697" s="1"/>
      <c r="F1697" s="1"/>
      <c r="G1697" s="1"/>
      <c r="H1697" s="1"/>
    </row>
    <row r="1698" spans="2:8" ht="12.75">
      <c r="B1698" s="6" t="s">
        <v>45</v>
      </c>
      <c r="C1698" s="8">
        <f>58.51+11.82+5.92</f>
        <v>76.25</v>
      </c>
      <c r="D1698" s="8">
        <f>C1698/2019.8/12*1000</f>
        <v>3.1459385417698122</v>
      </c>
      <c r="E1698" s="1"/>
      <c r="F1698" s="1"/>
      <c r="G1698" s="1"/>
      <c r="H1698" s="1"/>
    </row>
    <row r="1699" spans="2:8" ht="12.75">
      <c r="B1699" s="6" t="s">
        <v>46</v>
      </c>
      <c r="C1699" s="8">
        <v>0</v>
      </c>
      <c r="D1699" s="8">
        <f>C1699/2019.8/12*1000</f>
        <v>0</v>
      </c>
      <c r="E1699" s="1"/>
      <c r="F1699" s="1"/>
      <c r="G1699" s="1"/>
      <c r="H1699" s="1"/>
    </row>
    <row r="1700" spans="2:8" ht="12.75">
      <c r="B1700" s="20" t="s">
        <v>47</v>
      </c>
      <c r="C1700" s="8">
        <v>1.24</v>
      </c>
      <c r="D1700" s="8">
        <f>C1700/2019.8/12*1000</f>
        <v>0.051160180875994325</v>
      </c>
      <c r="E1700" s="1"/>
      <c r="F1700" s="1"/>
      <c r="G1700" s="1"/>
      <c r="H1700" s="1"/>
    </row>
    <row r="1701" spans="2:8" ht="12.75">
      <c r="B1701" s="8" t="s">
        <v>48</v>
      </c>
      <c r="C1701" s="8">
        <v>6.37</v>
      </c>
      <c r="D1701" s="8">
        <f>C1701/2019.8/12*1000</f>
        <v>0.2628148001452289</v>
      </c>
      <c r="E1701" s="1"/>
      <c r="F1701" s="1"/>
      <c r="G1701" s="1"/>
      <c r="H1701" s="1"/>
    </row>
    <row r="1702" spans="2:8" ht="12.75">
      <c r="B1702" s="8" t="s">
        <v>50</v>
      </c>
      <c r="C1702" s="8">
        <v>1.26</v>
      </c>
      <c r="D1702" s="8">
        <f>C1702/2019.8/12*1000</f>
        <v>0.05198534508367165</v>
      </c>
      <c r="E1702" s="1"/>
      <c r="F1702" s="1"/>
      <c r="G1702" s="1"/>
      <c r="H1702" s="1"/>
    </row>
    <row r="1703" spans="2:8" ht="12.75">
      <c r="B1703" s="14" t="s">
        <v>27</v>
      </c>
      <c r="C1703" s="14">
        <f>30.13+5.11</f>
        <v>35.24</v>
      </c>
      <c r="D1703" s="14">
        <f>C1703/2019.8/12*1000</f>
        <v>1.4539393339274518</v>
      </c>
      <c r="E1703" s="1"/>
      <c r="F1703" s="1"/>
      <c r="G1703" s="1"/>
      <c r="H1703" s="1"/>
    </row>
    <row r="1704" spans="2:8" ht="12.75">
      <c r="B1704" s="14"/>
      <c r="C1704" s="14"/>
      <c r="D1704" s="8"/>
      <c r="E1704" s="1"/>
      <c r="F1704" s="1"/>
      <c r="G1704" s="1"/>
      <c r="H1704" s="1"/>
    </row>
    <row r="1705" spans="2:8" ht="12.75">
      <c r="B1705" s="14" t="s">
        <v>29</v>
      </c>
      <c r="C1705" s="23">
        <f>C1691+C1692+C1697+C1703+C1704</f>
        <v>302.53</v>
      </c>
      <c r="D1705" s="23">
        <f>D1691+D1692+D1697+D1703+D1704</f>
        <v>12.481846387431098</v>
      </c>
      <c r="E1705" s="1"/>
      <c r="F1705" s="1"/>
      <c r="G1705" s="1"/>
      <c r="H1705" s="1"/>
    </row>
    <row r="1706" spans="2:8" ht="12.75">
      <c r="B1706" s="8" t="s">
        <v>51</v>
      </c>
      <c r="C1706" s="8">
        <v>30.25</v>
      </c>
      <c r="D1706" s="8">
        <f>C1706/2019.8/12*1000</f>
        <v>1.2480608641119582</v>
      </c>
      <c r="E1706" s="1"/>
      <c r="F1706" s="1"/>
      <c r="G1706" s="1"/>
      <c r="H1706" s="1"/>
    </row>
    <row r="1707" spans="2:8" ht="12.75">
      <c r="B1707" s="14" t="s">
        <v>31</v>
      </c>
      <c r="C1707" s="23">
        <f>C1705+C1706</f>
        <v>332.78</v>
      </c>
      <c r="D1707" s="23">
        <f>D1705+D1706</f>
        <v>13.729907251543056</v>
      </c>
      <c r="E1707" s="1"/>
      <c r="F1707" s="1"/>
      <c r="G1707" s="1"/>
      <c r="H1707" s="1"/>
    </row>
    <row r="1708" spans="2:8" ht="12.75">
      <c r="B1708" s="6" t="s">
        <v>34</v>
      </c>
      <c r="C1708" s="23">
        <f>C1707/C1690/12*1000</f>
        <v>13.729907251543057</v>
      </c>
      <c r="D1708" s="8"/>
      <c r="E1708" s="1"/>
      <c r="F1708" s="1"/>
      <c r="G1708" s="1"/>
      <c r="H1708" s="1"/>
    </row>
    <row r="1709" spans="2:8" ht="12.75">
      <c r="B1709" s="1"/>
      <c r="C1709" s="1"/>
      <c r="D1709" s="1"/>
      <c r="E1709" s="1"/>
      <c r="F1709" s="1"/>
      <c r="G1709" s="1"/>
      <c r="H1709" s="1"/>
    </row>
    <row r="1710" spans="2:8" ht="12.75">
      <c r="B1710" s="1" t="s">
        <v>52</v>
      </c>
      <c r="C1710" s="1"/>
      <c r="D1710" s="1"/>
      <c r="E1710" s="1"/>
      <c r="F1710" s="1"/>
      <c r="G1710" s="1"/>
      <c r="H1710" s="1"/>
    </row>
    <row r="1711" spans="2:8" ht="12.75">
      <c r="B1711" s="1"/>
      <c r="C1711" s="1"/>
      <c r="D1711" s="1"/>
      <c r="E1711" s="1"/>
      <c r="F1711" s="1"/>
      <c r="G1711" s="1"/>
      <c r="H1711" s="1"/>
    </row>
    <row r="1712" spans="2:8" ht="12.75">
      <c r="B1712" s="2" t="s">
        <v>0</v>
      </c>
      <c r="C1712" s="2"/>
      <c r="D1712" s="2"/>
      <c r="E1712" s="1"/>
      <c r="F1712" s="1"/>
      <c r="G1712" s="1"/>
      <c r="H1712" s="1"/>
    </row>
    <row r="1713" spans="2:8" ht="12.75">
      <c r="B1713" s="2" t="s">
        <v>65</v>
      </c>
      <c r="C1713" s="2"/>
      <c r="D1713" s="2"/>
      <c r="E1713" s="1"/>
      <c r="F1713" s="1"/>
      <c r="G1713" s="1"/>
      <c r="H1713" s="1"/>
    </row>
    <row r="1714" spans="2:8" ht="12.75">
      <c r="B1714" s="2" t="s">
        <v>132</v>
      </c>
      <c r="C1714" s="2"/>
      <c r="D1714" s="2"/>
      <c r="E1714" s="1"/>
      <c r="F1714" s="1"/>
      <c r="G1714" s="1"/>
      <c r="H1714" s="1"/>
    </row>
    <row r="1715" spans="2:8" ht="12.75">
      <c r="B1715" s="3"/>
      <c r="C1715" s="3"/>
      <c r="D1715" s="1"/>
      <c r="E1715" s="1"/>
      <c r="F1715" s="1"/>
      <c r="G1715" s="1"/>
      <c r="H1715" s="1"/>
    </row>
    <row r="1716" spans="2:8" ht="12.75">
      <c r="B1716" s="5" t="s">
        <v>4</v>
      </c>
      <c r="C1716" s="31" t="s">
        <v>40</v>
      </c>
      <c r="D1716" s="6" t="s">
        <v>41</v>
      </c>
      <c r="E1716" s="1"/>
      <c r="F1716" s="1"/>
      <c r="G1716" s="1"/>
      <c r="H1716" s="1"/>
    </row>
    <row r="1717" spans="2:8" ht="12.75">
      <c r="B1717" s="6"/>
      <c r="C1717" s="6"/>
      <c r="D1717" s="7"/>
      <c r="E1717" s="1"/>
      <c r="F1717" s="1"/>
      <c r="G1717" s="1"/>
      <c r="H1717" s="1"/>
    </row>
    <row r="1718" spans="2:8" ht="12.75">
      <c r="B1718" s="10" t="s">
        <v>42</v>
      </c>
      <c r="C1718" s="8">
        <v>3154.2</v>
      </c>
      <c r="D1718" s="8"/>
      <c r="E1718" s="1"/>
      <c r="F1718" s="1"/>
      <c r="G1718" s="1"/>
      <c r="H1718" s="1"/>
    </row>
    <row r="1719" spans="2:8" ht="12.75">
      <c r="B1719" s="11" t="s">
        <v>13</v>
      </c>
      <c r="C1719" s="32">
        <v>64.69</v>
      </c>
      <c r="D1719" s="14">
        <f>C1719/3154.2/12*1000</f>
        <v>1.7090968655549217</v>
      </c>
      <c r="E1719" s="1"/>
      <c r="F1719" s="1"/>
      <c r="G1719" s="1"/>
      <c r="H1719" s="1"/>
    </row>
    <row r="1720" spans="2:8" ht="12.75">
      <c r="B1720" s="15" t="s">
        <v>14</v>
      </c>
      <c r="C1720" s="9">
        <f>SUM(C1721:C1723)</f>
        <v>211.04999999999998</v>
      </c>
      <c r="D1720" s="9">
        <f>SUM(D1721:D1723)</f>
        <v>5.575898801597869</v>
      </c>
      <c r="E1720" s="1"/>
      <c r="F1720" s="1"/>
      <c r="G1720" s="1"/>
      <c r="H1720" s="1"/>
    </row>
    <row r="1721" spans="2:8" ht="12.75">
      <c r="B1721" s="6" t="s">
        <v>43</v>
      </c>
      <c r="C1721" s="8">
        <f>24.6+33.31</f>
        <v>57.910000000000004</v>
      </c>
      <c r="D1721" s="8">
        <f>C1721/3154.2/12*1000</f>
        <v>1.5299706211823392</v>
      </c>
      <c r="E1721" s="1"/>
      <c r="F1721" s="1"/>
      <c r="G1721" s="1"/>
      <c r="H1721" s="1"/>
    </row>
    <row r="1722" spans="2:8" ht="12.75">
      <c r="B1722" s="17" t="s">
        <v>44</v>
      </c>
      <c r="C1722" s="8">
        <v>27.86</v>
      </c>
      <c r="D1722" s="8">
        <f>C1722/3154.2/12*1000</f>
        <v>0.7360556295309957</v>
      </c>
      <c r="E1722" s="1"/>
      <c r="F1722" s="1"/>
      <c r="G1722" s="1"/>
      <c r="H1722" s="1"/>
    </row>
    <row r="1723" spans="2:8" ht="12.75">
      <c r="B1723" s="6" t="s">
        <v>16</v>
      </c>
      <c r="C1723" s="8">
        <v>125.28</v>
      </c>
      <c r="D1723" s="8">
        <f>C1723/3154.2/12*1000</f>
        <v>3.309872550884535</v>
      </c>
      <c r="E1723" s="1"/>
      <c r="F1723" s="1"/>
      <c r="G1723" s="1"/>
      <c r="H1723" s="1"/>
    </row>
    <row r="1724" spans="2:8" ht="12.75">
      <c r="B1724" s="10" t="s">
        <v>19</v>
      </c>
      <c r="C1724" s="22">
        <f>SUM(C1725:C1729)</f>
        <v>105.47</v>
      </c>
      <c r="D1724" s="22">
        <f>SUM(D1725:D1729)</f>
        <v>2.7864963117959123</v>
      </c>
      <c r="E1724" s="1"/>
      <c r="F1724" s="1"/>
      <c r="G1724" s="1"/>
      <c r="H1724" s="1"/>
    </row>
    <row r="1725" spans="2:8" ht="12.75">
      <c r="B1725" s="6" t="s">
        <v>45</v>
      </c>
      <c r="C1725" s="8">
        <f>71.31+14.41+7.22</f>
        <v>92.94</v>
      </c>
      <c r="D1725" s="8">
        <f>C1725/3154.2/12*1000</f>
        <v>2.455456217107349</v>
      </c>
      <c r="E1725" s="1"/>
      <c r="F1725" s="1"/>
      <c r="G1725" s="1"/>
      <c r="H1725" s="1"/>
    </row>
    <row r="1726" spans="2:8" ht="12.75">
      <c r="B1726" s="6" t="s">
        <v>46</v>
      </c>
      <c r="C1726" s="8">
        <v>0</v>
      </c>
      <c r="D1726" s="8">
        <f>C1726/3154.2/12*1000</f>
        <v>0</v>
      </c>
      <c r="E1726" s="1"/>
      <c r="F1726" s="1"/>
      <c r="G1726" s="1"/>
      <c r="H1726" s="1"/>
    </row>
    <row r="1727" spans="2:8" ht="12.75">
      <c r="B1727" s="20" t="s">
        <v>47</v>
      </c>
      <c r="C1727" s="8">
        <v>0.93</v>
      </c>
      <c r="D1727" s="8">
        <f>C1727/3154.2/12*1000</f>
        <v>0.024570414051106465</v>
      </c>
      <c r="E1727" s="1"/>
      <c r="F1727" s="1"/>
      <c r="G1727" s="1"/>
      <c r="H1727" s="1"/>
    </row>
    <row r="1728" spans="2:8" ht="12.75">
      <c r="B1728" s="8" t="s">
        <v>48</v>
      </c>
      <c r="C1728" s="8">
        <v>9.29</v>
      </c>
      <c r="D1728" s="8">
        <f>C1728/3154.2/12*1000</f>
        <v>0.24543994251051507</v>
      </c>
      <c r="E1728" s="1"/>
      <c r="F1728" s="1"/>
      <c r="G1728" s="1"/>
      <c r="H1728" s="1"/>
    </row>
    <row r="1729" spans="2:8" ht="12.75">
      <c r="B1729" s="8" t="s">
        <v>50</v>
      </c>
      <c r="C1729" s="8">
        <v>2.31</v>
      </c>
      <c r="D1729" s="8">
        <f>C1729/3154.2/12*1000</f>
        <v>0.06102973812694186</v>
      </c>
      <c r="E1729" s="1"/>
      <c r="F1729" s="1"/>
      <c r="G1729" s="1"/>
      <c r="H1729" s="1"/>
    </row>
    <row r="1730" spans="2:8" ht="12.75">
      <c r="B1730" s="14" t="s">
        <v>27</v>
      </c>
      <c r="C1730" s="14">
        <f>47.06+7.35</f>
        <v>54.410000000000004</v>
      </c>
      <c r="D1730" s="14">
        <f>C1730/3154.2/12*1000</f>
        <v>1.437501320990003</v>
      </c>
      <c r="E1730" s="1"/>
      <c r="F1730" s="1"/>
      <c r="G1730" s="1"/>
      <c r="H1730" s="1"/>
    </row>
    <row r="1731" spans="2:8" ht="12.75">
      <c r="B1731" s="14"/>
      <c r="C1731" s="14"/>
      <c r="D1731" s="8"/>
      <c r="E1731" s="1"/>
      <c r="F1731" s="1"/>
      <c r="G1731" s="1"/>
      <c r="H1731" s="1"/>
    </row>
    <row r="1732" spans="2:8" ht="12.75">
      <c r="B1732" s="14" t="s">
        <v>29</v>
      </c>
      <c r="C1732" s="23">
        <f>C1719+C1720+C1724+C1730+C1731</f>
        <v>435.62000000000006</v>
      </c>
      <c r="D1732" s="23">
        <f>D1719+D1720+D1724+D1730+D1731</f>
        <v>11.508993299938707</v>
      </c>
      <c r="E1732" s="1"/>
      <c r="F1732" s="1"/>
      <c r="G1732" s="1"/>
      <c r="H1732" s="1"/>
    </row>
    <row r="1733" spans="2:8" ht="12.75">
      <c r="B1733" s="8" t="s">
        <v>51</v>
      </c>
      <c r="C1733" s="8">
        <v>43.56</v>
      </c>
      <c r="D1733" s="8">
        <v>1.15</v>
      </c>
      <c r="E1733" s="1"/>
      <c r="F1733" s="1"/>
      <c r="G1733" s="1"/>
      <c r="H1733" s="1"/>
    </row>
    <row r="1734" spans="2:8" ht="12.75">
      <c r="B1734" s="14" t="s">
        <v>31</v>
      </c>
      <c r="C1734" s="23">
        <f>C1732+C1733</f>
        <v>479.18000000000006</v>
      </c>
      <c r="D1734" s="23">
        <f>D1732+D1733</f>
        <v>12.658993299938707</v>
      </c>
      <c r="E1734" s="1"/>
      <c r="F1734" s="1"/>
      <c r="G1734" s="1"/>
      <c r="H1734" s="1"/>
    </row>
    <row r="1735" spans="2:8" ht="12.75">
      <c r="B1735" s="6" t="s">
        <v>34</v>
      </c>
      <c r="C1735" s="23">
        <f>C1734/C1718/12*1000</f>
        <v>12.659839790332471</v>
      </c>
      <c r="D1735" s="8"/>
      <c r="E1735" s="1"/>
      <c r="F1735" s="1"/>
      <c r="G1735" s="1"/>
      <c r="H1735" s="1"/>
    </row>
    <row r="1736" spans="2:8" ht="12.75">
      <c r="B1736" s="1"/>
      <c r="C1736" s="1"/>
      <c r="D1736" s="1"/>
      <c r="E1736" s="1"/>
      <c r="F1736" s="1"/>
      <c r="G1736" s="1"/>
      <c r="H1736" s="1"/>
    </row>
    <row r="1737" spans="2:8" ht="12.75">
      <c r="B1737" s="1" t="s">
        <v>52</v>
      </c>
      <c r="C1737" s="1"/>
      <c r="D1737" s="1"/>
      <c r="E1737" s="1"/>
      <c r="F1737" s="1"/>
      <c r="G1737" s="1"/>
      <c r="H1737" s="1"/>
    </row>
    <row r="1738" spans="2:8" ht="12.75">
      <c r="B1738" s="1"/>
      <c r="C1738" s="1"/>
      <c r="D1738" s="1"/>
      <c r="E1738" s="1"/>
      <c r="F1738" s="1"/>
      <c r="G1738" s="1"/>
      <c r="H1738" s="1"/>
    </row>
    <row r="1739" spans="2:8" ht="12.75">
      <c r="B1739" s="2" t="s">
        <v>0</v>
      </c>
      <c r="C1739" s="2"/>
      <c r="D1739" s="2"/>
      <c r="E1739" s="1"/>
      <c r="F1739" s="1"/>
      <c r="G1739" s="1"/>
      <c r="H1739" s="1"/>
    </row>
    <row r="1740" spans="2:8" ht="12.75">
      <c r="B1740" s="2" t="s">
        <v>65</v>
      </c>
      <c r="C1740" s="2"/>
      <c r="D1740" s="2"/>
      <c r="E1740" s="1"/>
      <c r="F1740" s="1"/>
      <c r="G1740" s="1"/>
      <c r="H1740" s="1"/>
    </row>
    <row r="1741" spans="2:8" ht="12.75">
      <c r="B1741" s="2" t="s">
        <v>133</v>
      </c>
      <c r="C1741" s="2"/>
      <c r="D1741" s="2"/>
      <c r="E1741" s="1"/>
      <c r="F1741" s="1"/>
      <c r="G1741" s="1"/>
      <c r="H1741" s="1"/>
    </row>
    <row r="1742" spans="2:8" ht="12.75">
      <c r="B1742" s="3"/>
      <c r="C1742" s="3"/>
      <c r="D1742" s="1"/>
      <c r="E1742" s="1"/>
      <c r="F1742" s="1"/>
      <c r="G1742" s="1"/>
      <c r="H1742" s="1"/>
    </row>
    <row r="1743" spans="2:8" ht="12.75">
      <c r="B1743" s="5" t="s">
        <v>4</v>
      </c>
      <c r="C1743" s="31" t="s">
        <v>40</v>
      </c>
      <c r="D1743" s="6" t="s">
        <v>41</v>
      </c>
      <c r="E1743" s="1"/>
      <c r="F1743" s="1"/>
      <c r="G1743" s="1"/>
      <c r="H1743" s="1"/>
    </row>
    <row r="1744" spans="2:8" ht="12.75">
      <c r="B1744" s="6"/>
      <c r="C1744" s="6"/>
      <c r="D1744" s="7"/>
      <c r="E1744" s="1"/>
      <c r="F1744" s="1"/>
      <c r="G1744" s="1"/>
      <c r="H1744" s="1"/>
    </row>
    <row r="1745" spans="2:8" ht="12.75">
      <c r="B1745" s="10" t="s">
        <v>42</v>
      </c>
      <c r="C1745" s="8">
        <v>1970.9</v>
      </c>
      <c r="D1745" s="8"/>
      <c r="E1745" s="1"/>
      <c r="F1745" s="1"/>
      <c r="G1745" s="1"/>
      <c r="H1745" s="1"/>
    </row>
    <row r="1746" spans="2:8" ht="12.75">
      <c r="B1746" s="11" t="s">
        <v>13</v>
      </c>
      <c r="C1746" s="32">
        <v>40.42</v>
      </c>
      <c r="D1746" s="14">
        <f>C1746/1970.9/12*1000</f>
        <v>1.709033098246148</v>
      </c>
      <c r="E1746" s="1"/>
      <c r="F1746" s="1"/>
      <c r="G1746" s="1"/>
      <c r="H1746" s="1"/>
    </row>
    <row r="1747" spans="2:8" ht="12.75">
      <c r="B1747" s="15" t="s">
        <v>14</v>
      </c>
      <c r="C1747" s="9">
        <f>SUM(C1748:C1750)</f>
        <v>112.94999999999999</v>
      </c>
      <c r="D1747" s="9">
        <f>SUM(D1748:D1750)</f>
        <v>4.775736972956517</v>
      </c>
      <c r="E1747" s="1"/>
      <c r="F1747" s="1"/>
      <c r="G1747" s="1"/>
      <c r="H1747" s="1"/>
    </row>
    <row r="1748" spans="2:8" ht="12.75">
      <c r="B1748" s="6" t="s">
        <v>43</v>
      </c>
      <c r="C1748" s="8">
        <f>15.37+20.81</f>
        <v>36.18</v>
      </c>
      <c r="D1748" s="8">
        <f>C1748/1970.9/12*1000</f>
        <v>1.5297579785884619</v>
      </c>
      <c r="E1748" s="1"/>
      <c r="F1748" s="1"/>
      <c r="G1748" s="1"/>
      <c r="H1748" s="1"/>
    </row>
    <row r="1749" spans="2:8" ht="12.75">
      <c r="B1749" s="17" t="s">
        <v>44</v>
      </c>
      <c r="C1749" s="8">
        <v>17.41</v>
      </c>
      <c r="D1749" s="8">
        <f>C1749/1970.9/12*1000</f>
        <v>0.7361273191604512</v>
      </c>
      <c r="E1749" s="1"/>
      <c r="F1749" s="1"/>
      <c r="G1749" s="1"/>
      <c r="H1749" s="1"/>
    </row>
    <row r="1750" spans="2:8" ht="12.75">
      <c r="B1750" s="6" t="s">
        <v>16</v>
      </c>
      <c r="C1750" s="8">
        <v>59.36</v>
      </c>
      <c r="D1750" s="8">
        <f>C1750/1970.9/12*1000</f>
        <v>2.509851675207604</v>
      </c>
      <c r="E1750" s="1"/>
      <c r="F1750" s="1"/>
      <c r="G1750" s="1"/>
      <c r="H1750" s="1"/>
    </row>
    <row r="1751" spans="2:8" ht="12.75">
      <c r="B1751" s="10" t="s">
        <v>19</v>
      </c>
      <c r="C1751" s="22">
        <f>SUM(C1752:C1756)</f>
        <v>84.82000000000001</v>
      </c>
      <c r="D1751" s="22">
        <f>SUM(D1752:D1756)</f>
        <v>3.586348030510596</v>
      </c>
      <c r="E1751" s="1"/>
      <c r="F1751" s="1"/>
      <c r="G1751" s="1"/>
      <c r="H1751" s="1"/>
    </row>
    <row r="1752" spans="2:8" ht="12.75">
      <c r="B1752" s="6" t="s">
        <v>45</v>
      </c>
      <c r="C1752" s="8">
        <f>58.29+11.77+5.9</f>
        <v>75.96000000000001</v>
      </c>
      <c r="D1752" s="8">
        <f>C1752/1970.9/12*1000</f>
        <v>3.2117306814145823</v>
      </c>
      <c r="E1752" s="1"/>
      <c r="F1752" s="1"/>
      <c r="G1752" s="1"/>
      <c r="H1752" s="1"/>
    </row>
    <row r="1753" spans="2:8" ht="12.75">
      <c r="B1753" s="6" t="s">
        <v>46</v>
      </c>
      <c r="C1753" s="8">
        <v>0</v>
      </c>
      <c r="D1753" s="8">
        <f>C1753/1970.9/12*1000</f>
        <v>0</v>
      </c>
      <c r="E1753" s="1"/>
      <c r="F1753" s="1"/>
      <c r="G1753" s="1"/>
      <c r="H1753" s="1"/>
    </row>
    <row r="1754" spans="2:8" ht="12.75">
      <c r="B1754" s="20" t="s">
        <v>47</v>
      </c>
      <c r="C1754" s="8">
        <v>0.93</v>
      </c>
      <c r="D1754" s="8">
        <f>C1754/1970.9/12*1000</f>
        <v>0.039322137094728295</v>
      </c>
      <c r="E1754" s="1"/>
      <c r="F1754" s="1"/>
      <c r="G1754" s="1"/>
      <c r="H1754" s="1"/>
    </row>
    <row r="1755" spans="2:8" ht="12.75">
      <c r="B1755" s="8" t="s">
        <v>48</v>
      </c>
      <c r="C1755" s="8">
        <v>6.37</v>
      </c>
      <c r="D1755" s="8">
        <f>C1755/1970.9/12*1000</f>
        <v>0.2693354981649669</v>
      </c>
      <c r="E1755" s="1"/>
      <c r="F1755" s="1"/>
      <c r="G1755" s="1"/>
      <c r="H1755" s="1"/>
    </row>
    <row r="1756" spans="2:8" ht="12.75">
      <c r="B1756" s="8" t="s">
        <v>50</v>
      </c>
      <c r="C1756" s="8">
        <v>1.56</v>
      </c>
      <c r="D1756" s="8">
        <f>C1756/1970.9/12*1000</f>
        <v>0.06595971383631843</v>
      </c>
      <c r="E1756" s="1"/>
      <c r="F1756" s="1"/>
      <c r="G1756" s="1"/>
      <c r="H1756" s="1"/>
    </row>
    <row r="1757" spans="2:8" ht="12.75">
      <c r="B1757" s="14" t="s">
        <v>27</v>
      </c>
      <c r="C1757" s="14">
        <f>29.4+4.6</f>
        <v>34</v>
      </c>
      <c r="D1757" s="14">
        <f>C1757/1970.9/12*1000</f>
        <v>1.4375835066889915</v>
      </c>
      <c r="E1757" s="1"/>
      <c r="F1757" s="1"/>
      <c r="G1757" s="1"/>
      <c r="H1757" s="1"/>
    </row>
    <row r="1758" spans="2:8" ht="12.75">
      <c r="B1758" s="14"/>
      <c r="C1758" s="14"/>
      <c r="D1758" s="8"/>
      <c r="E1758" s="1"/>
      <c r="F1758" s="1"/>
      <c r="G1758" s="1"/>
      <c r="H1758" s="1"/>
    </row>
    <row r="1759" spans="2:8" ht="12.75">
      <c r="B1759" s="14" t="s">
        <v>29</v>
      </c>
      <c r="C1759" s="23">
        <f>C1746+C1747+C1751+C1757+C1758</f>
        <v>272.19</v>
      </c>
      <c r="D1759" s="23">
        <f>D1746+D1747+D1751+D1757+D1758</f>
        <v>11.508701608402252</v>
      </c>
      <c r="E1759" s="1"/>
      <c r="F1759" s="1"/>
      <c r="G1759" s="1"/>
      <c r="H1759" s="1"/>
    </row>
    <row r="1760" spans="2:8" ht="12.75">
      <c r="B1760" s="8" t="s">
        <v>51</v>
      </c>
      <c r="C1760" s="8">
        <v>27.22</v>
      </c>
      <c r="D1760" s="8">
        <f>C1760/1970.9/12*1000</f>
        <v>1.150912442708069</v>
      </c>
      <c r="E1760" s="1"/>
      <c r="F1760" s="1"/>
      <c r="G1760" s="1"/>
      <c r="H1760" s="1"/>
    </row>
    <row r="1761" spans="2:8" ht="12.75">
      <c r="B1761" s="14" t="s">
        <v>31</v>
      </c>
      <c r="C1761" s="23">
        <f>C1759+C1760</f>
        <v>299.40999999999997</v>
      </c>
      <c r="D1761" s="23">
        <f>D1759+D1760</f>
        <v>12.65961405111032</v>
      </c>
      <c r="E1761" s="1"/>
      <c r="F1761" s="1"/>
      <c r="G1761" s="1"/>
      <c r="H1761" s="1"/>
    </row>
    <row r="1762" spans="2:8" ht="12.75">
      <c r="B1762" s="6" t="s">
        <v>34</v>
      </c>
      <c r="C1762" s="23">
        <f>C1761/C1745/12*1000</f>
        <v>12.659614051110319</v>
      </c>
      <c r="D1762" s="8"/>
      <c r="E1762" s="1"/>
      <c r="F1762" s="1"/>
      <c r="G1762" s="1"/>
      <c r="H1762" s="1"/>
    </row>
    <row r="1763" spans="2:8" ht="12.75">
      <c r="B1763" s="1"/>
      <c r="C1763" s="1"/>
      <c r="D1763" s="1"/>
      <c r="E1763" s="1"/>
      <c r="F1763" s="1"/>
      <c r="G1763" s="1"/>
      <c r="H1763" s="1"/>
    </row>
    <row r="1764" spans="2:8" ht="12.75">
      <c r="B1764" s="1" t="s">
        <v>52</v>
      </c>
      <c r="C1764" s="1"/>
      <c r="D1764" s="1"/>
      <c r="E1764" s="1"/>
      <c r="F1764" s="1"/>
      <c r="G1764" s="1"/>
      <c r="H1764" s="1"/>
    </row>
    <row r="1765" spans="2:8" ht="12.75">
      <c r="B1765" s="1"/>
      <c r="C1765" s="1"/>
      <c r="D1765" s="1"/>
      <c r="E1765" s="1"/>
      <c r="F1765" s="1"/>
      <c r="G1765" s="1"/>
      <c r="H1765" s="1"/>
    </row>
    <row r="1766" spans="2:9" ht="12.75">
      <c r="B1766" s="2" t="s">
        <v>0</v>
      </c>
      <c r="C1766" s="2"/>
      <c r="D1766" s="2"/>
      <c r="E1766" s="1"/>
      <c r="F1766" s="1"/>
      <c r="G1766" s="1"/>
      <c r="H1766" s="1"/>
      <c r="I1766" s="2"/>
    </row>
    <row r="1767" spans="2:9" ht="12.75">
      <c r="B1767" s="2" t="s">
        <v>65</v>
      </c>
      <c r="C1767" s="2"/>
      <c r="D1767" s="2"/>
      <c r="E1767" s="1"/>
      <c r="F1767" s="1"/>
      <c r="G1767" s="1"/>
      <c r="H1767" s="1"/>
      <c r="I1767" s="2"/>
    </row>
    <row r="1768" spans="2:9" ht="12.75">
      <c r="B1768" s="2" t="s">
        <v>134</v>
      </c>
      <c r="C1768" s="2"/>
      <c r="D1768" s="2"/>
      <c r="E1768" s="1"/>
      <c r="F1768" s="1"/>
      <c r="G1768" s="1"/>
      <c r="H1768" s="1"/>
      <c r="I1768" s="2"/>
    </row>
    <row r="1769" spans="2:9" ht="12.75">
      <c r="B1769" s="3"/>
      <c r="C1769" s="3"/>
      <c r="D1769" s="1"/>
      <c r="E1769" s="1"/>
      <c r="F1769" s="1"/>
      <c r="G1769" s="1"/>
      <c r="H1769" s="1"/>
      <c r="I1769" s="3"/>
    </row>
    <row r="1770" spans="2:9" ht="12.75">
      <c r="B1770" s="5" t="s">
        <v>4</v>
      </c>
      <c r="C1770" s="31" t="s">
        <v>40</v>
      </c>
      <c r="D1770" s="6" t="s">
        <v>41</v>
      </c>
      <c r="E1770" s="1"/>
      <c r="F1770" s="1"/>
      <c r="G1770" s="1"/>
      <c r="H1770" s="1"/>
      <c r="I1770" s="29"/>
    </row>
    <row r="1771" spans="2:9" ht="12.75">
      <c r="B1771" s="6"/>
      <c r="C1771" s="6"/>
      <c r="D1771" s="7"/>
      <c r="E1771" s="1"/>
      <c r="F1771" s="1"/>
      <c r="G1771" s="1"/>
      <c r="H1771" s="1"/>
      <c r="I1771" s="27"/>
    </row>
    <row r="1772" spans="2:9" ht="12.75">
      <c r="B1772" s="10" t="s">
        <v>42</v>
      </c>
      <c r="C1772" s="8">
        <v>2001</v>
      </c>
      <c r="D1772" s="8"/>
      <c r="E1772" s="1"/>
      <c r="F1772" s="1"/>
      <c r="G1772" s="1"/>
      <c r="H1772" s="1"/>
      <c r="I1772" s="40"/>
    </row>
    <row r="1773" spans="2:9" ht="12.75">
      <c r="B1773" s="11" t="s">
        <v>13</v>
      </c>
      <c r="C1773" s="32">
        <v>41.04</v>
      </c>
      <c r="D1773" s="14">
        <f>C1773/2001/12*1000</f>
        <v>1.7091454272863569</v>
      </c>
      <c r="E1773" s="1"/>
      <c r="F1773" s="1"/>
      <c r="G1773" s="1"/>
      <c r="H1773" s="1"/>
      <c r="I1773" s="41"/>
    </row>
    <row r="1774" spans="2:9" ht="12.75">
      <c r="B1774" s="15" t="s">
        <v>14</v>
      </c>
      <c r="C1774" s="9">
        <f>SUM(C1775:C1777)</f>
        <v>133.14999999999998</v>
      </c>
      <c r="D1774" s="9">
        <f>SUM(D1775:D1777)</f>
        <v>5.545144094619356</v>
      </c>
      <c r="E1774" s="1"/>
      <c r="F1774" s="1"/>
      <c r="G1774" s="1"/>
      <c r="H1774" s="1"/>
      <c r="I1774" s="42"/>
    </row>
    <row r="1775" spans="2:9" ht="12.75">
      <c r="B1775" s="6" t="s">
        <v>43</v>
      </c>
      <c r="C1775" s="8">
        <f>15.61+21.13</f>
        <v>36.739999999999995</v>
      </c>
      <c r="D1775" s="8">
        <f>C1775/2001/12*1000</f>
        <v>1.5300682991837413</v>
      </c>
      <c r="E1775" s="1"/>
      <c r="F1775" s="1"/>
      <c r="G1775" s="1"/>
      <c r="H1775" s="1"/>
      <c r="I1775" s="27"/>
    </row>
    <row r="1776" spans="2:9" ht="12.75">
      <c r="B1776" s="17" t="s">
        <v>44</v>
      </c>
      <c r="C1776" s="8">
        <v>17.68</v>
      </c>
      <c r="D1776" s="8">
        <f>C1776/2001/12*1000</f>
        <v>0.7362985174079626</v>
      </c>
      <c r="E1776" s="1"/>
      <c r="F1776" s="1"/>
      <c r="G1776" s="1"/>
      <c r="H1776" s="1"/>
      <c r="I1776" s="43"/>
    </row>
    <row r="1777" spans="2:9" ht="12.75">
      <c r="B1777" s="6" t="s">
        <v>16</v>
      </c>
      <c r="C1777" s="8">
        <v>78.73</v>
      </c>
      <c r="D1777" s="8">
        <f>C1777/2001/12*1000</f>
        <v>3.278777278027653</v>
      </c>
      <c r="E1777" s="1"/>
      <c r="F1777" s="1"/>
      <c r="G1777" s="1"/>
      <c r="H1777" s="1"/>
      <c r="I1777" s="27"/>
    </row>
    <row r="1778" spans="2:9" ht="12.75">
      <c r="B1778" s="6"/>
      <c r="C1778" s="8"/>
      <c r="D1778" s="8"/>
      <c r="E1778" s="1"/>
      <c r="F1778" s="1"/>
      <c r="G1778" s="1"/>
      <c r="H1778" s="1"/>
      <c r="I1778" s="27"/>
    </row>
    <row r="1779" spans="2:9" ht="12.75">
      <c r="B1779" s="10" t="s">
        <v>19</v>
      </c>
      <c r="C1779" s="22">
        <f>SUM(C1780:C1784)</f>
        <v>67.66</v>
      </c>
      <c r="D1779" s="22">
        <f>SUM(D1780:D1784)</f>
        <v>2.81775778777278</v>
      </c>
      <c r="E1779" s="1"/>
      <c r="F1779" s="1"/>
      <c r="G1779" s="1"/>
      <c r="H1779" s="1"/>
      <c r="I1779" s="40"/>
    </row>
    <row r="1780" spans="2:9" ht="12.75">
      <c r="B1780" s="6" t="s">
        <v>45</v>
      </c>
      <c r="C1780" s="8">
        <f>44.96+9.08+4.55</f>
        <v>58.589999999999996</v>
      </c>
      <c r="D1780" s="8">
        <f>C1780/2001/12*1000</f>
        <v>2.440029985007496</v>
      </c>
      <c r="E1780" s="1"/>
      <c r="F1780" s="1"/>
      <c r="G1780" s="1"/>
      <c r="H1780" s="1"/>
      <c r="I1780" s="27"/>
    </row>
    <row r="1781" spans="2:9" ht="12.75">
      <c r="B1781" s="6" t="s">
        <v>46</v>
      </c>
      <c r="C1781" s="8">
        <v>0</v>
      </c>
      <c r="D1781" s="8">
        <f>C1781/2001/12*1000</f>
        <v>0</v>
      </c>
      <c r="E1781" s="1"/>
      <c r="F1781" s="1"/>
      <c r="G1781" s="1"/>
      <c r="H1781" s="1"/>
      <c r="I1781" s="27"/>
    </row>
    <row r="1782" spans="2:9" ht="12.75">
      <c r="B1782" s="20" t="s">
        <v>47</v>
      </c>
      <c r="C1782" s="8">
        <v>1.24</v>
      </c>
      <c r="D1782" s="8">
        <f>C1782/2001/12*1000</f>
        <v>0.0516408462435449</v>
      </c>
      <c r="E1782" s="1"/>
      <c r="F1782" s="1"/>
      <c r="G1782" s="1"/>
      <c r="H1782" s="1"/>
      <c r="I1782" s="44"/>
    </row>
    <row r="1783" spans="2:9" ht="12.75">
      <c r="B1783" s="8" t="s">
        <v>48</v>
      </c>
      <c r="C1783" s="8">
        <v>6.37</v>
      </c>
      <c r="D1783" s="8">
        <f>C1783/2001/12*1000</f>
        <v>0.26528402465433953</v>
      </c>
      <c r="E1783" s="1"/>
      <c r="F1783" s="1"/>
      <c r="G1783" s="1"/>
      <c r="H1783" s="1"/>
      <c r="I1783" s="36"/>
    </row>
    <row r="1784" spans="2:9" ht="12.75">
      <c r="B1784" s="8" t="s">
        <v>50</v>
      </c>
      <c r="C1784" s="8">
        <v>1.46</v>
      </c>
      <c r="D1784" s="8">
        <f>C1784/2001/12*1000</f>
        <v>0.060802931867399636</v>
      </c>
      <c r="E1784" s="1"/>
      <c r="F1784" s="1"/>
      <c r="G1784" s="1"/>
      <c r="H1784" s="1"/>
      <c r="I1784" s="36"/>
    </row>
    <row r="1785" spans="2:9" ht="12.75">
      <c r="B1785" s="14" t="s">
        <v>27</v>
      </c>
      <c r="C1785" s="14">
        <f>29.85+4.67</f>
        <v>34.52</v>
      </c>
      <c r="D1785" s="14">
        <f>C1785/2001/12*1000</f>
        <v>1.4376145260702984</v>
      </c>
      <c r="E1785" s="1"/>
      <c r="F1785" s="1"/>
      <c r="G1785" s="1"/>
      <c r="H1785" s="1"/>
      <c r="I1785" s="38"/>
    </row>
    <row r="1786" spans="2:9" ht="12.75">
      <c r="B1786" s="14"/>
      <c r="C1786" s="14"/>
      <c r="D1786" s="8"/>
      <c r="E1786" s="1"/>
      <c r="F1786" s="1"/>
      <c r="G1786" s="1"/>
      <c r="H1786" s="1"/>
      <c r="I1786" s="38"/>
    </row>
    <row r="1787" spans="2:9" ht="12.75">
      <c r="B1787" s="14" t="s">
        <v>29</v>
      </c>
      <c r="C1787" s="23">
        <f>C1773+C1774+C1779+C1785+C1786</f>
        <v>276.36999999999995</v>
      </c>
      <c r="D1787" s="23">
        <f>D1773+D1774+D1779+D1785+D1786</f>
        <v>11.509661835748792</v>
      </c>
      <c r="E1787" s="1"/>
      <c r="F1787" s="1"/>
      <c r="G1787" s="1"/>
      <c r="H1787" s="1"/>
      <c r="I1787" s="38"/>
    </row>
    <row r="1788" spans="2:9" ht="12.75">
      <c r="B1788" s="8" t="s">
        <v>51</v>
      </c>
      <c r="C1788" s="8">
        <v>27.64</v>
      </c>
      <c r="D1788" s="8">
        <f>C1788/2001/12*1000</f>
        <v>1.1510911211061134</v>
      </c>
      <c r="E1788" s="1"/>
      <c r="F1788" s="1"/>
      <c r="G1788" s="1"/>
      <c r="H1788" s="1"/>
      <c r="I1788" s="36"/>
    </row>
    <row r="1789" spans="2:9" ht="12.75">
      <c r="B1789" s="14" t="s">
        <v>31</v>
      </c>
      <c r="C1789" s="23">
        <f>C1787+C1788</f>
        <v>304.00999999999993</v>
      </c>
      <c r="D1789" s="23">
        <f>D1787+D1788</f>
        <v>12.660752956854905</v>
      </c>
      <c r="E1789" s="1"/>
      <c r="F1789" s="1"/>
      <c r="G1789" s="1"/>
      <c r="H1789" s="1"/>
      <c r="I1789" s="38"/>
    </row>
    <row r="1790" spans="2:9" ht="12.75">
      <c r="B1790" s="6" t="s">
        <v>34</v>
      </c>
      <c r="C1790" s="23">
        <f>C1789/C1772/12*1000</f>
        <v>12.660752956854903</v>
      </c>
      <c r="D1790" s="8"/>
      <c r="E1790" s="1"/>
      <c r="F1790" s="1"/>
      <c r="G1790" s="1"/>
      <c r="H1790" s="1"/>
      <c r="I1790" s="27"/>
    </row>
    <row r="1791" spans="2:8" ht="12.75">
      <c r="B1791" s="1"/>
      <c r="C1791" s="1"/>
      <c r="D1791" s="1"/>
      <c r="E1791" s="1"/>
      <c r="F1791" s="1"/>
      <c r="G1791" s="1"/>
      <c r="H1791" s="1"/>
    </row>
    <row r="1792" spans="2:8" ht="12.75">
      <c r="B1792" s="1" t="s">
        <v>52</v>
      </c>
      <c r="C1792" s="1"/>
      <c r="D1792" s="1"/>
      <c r="E1792" s="1"/>
      <c r="F1792" s="1"/>
      <c r="G1792" s="1"/>
      <c r="H1792" s="1"/>
    </row>
    <row r="1793" spans="2:8" ht="12.75">
      <c r="B1793" s="1"/>
      <c r="C1793" s="1"/>
      <c r="D1793" s="1"/>
      <c r="E1793" s="1"/>
      <c r="F1793" s="1"/>
      <c r="G1793" s="1"/>
      <c r="H1793" s="1"/>
    </row>
    <row r="1794" spans="2:8" ht="12.75">
      <c r="B1794" s="2" t="s">
        <v>0</v>
      </c>
      <c r="C1794" s="2"/>
      <c r="D1794" s="2"/>
      <c r="E1794" s="1"/>
      <c r="F1794" s="1"/>
      <c r="G1794" s="1"/>
      <c r="H1794" s="1"/>
    </row>
    <row r="1795" spans="2:8" ht="12.75">
      <c r="B1795" s="2" t="s">
        <v>65</v>
      </c>
      <c r="C1795" s="2"/>
      <c r="D1795" s="2"/>
      <c r="E1795" s="1"/>
      <c r="F1795" s="1"/>
      <c r="G1795" s="1"/>
      <c r="H1795" s="1"/>
    </row>
    <row r="1796" spans="2:8" ht="12.75">
      <c r="B1796" s="2" t="s">
        <v>135</v>
      </c>
      <c r="C1796" s="2"/>
      <c r="D1796" s="2"/>
      <c r="E1796" s="1"/>
      <c r="F1796" s="1"/>
      <c r="G1796" s="1"/>
      <c r="H1796" s="1"/>
    </row>
    <row r="1797" spans="2:8" ht="12.75">
      <c r="B1797" s="3"/>
      <c r="C1797" s="3"/>
      <c r="D1797" s="1"/>
      <c r="E1797" s="1"/>
      <c r="F1797" s="1"/>
      <c r="G1797" s="1"/>
      <c r="H1797" s="1"/>
    </row>
    <row r="1798" spans="2:8" ht="12.75">
      <c r="B1798" s="5" t="s">
        <v>4</v>
      </c>
      <c r="C1798" s="31" t="s">
        <v>40</v>
      </c>
      <c r="D1798" s="6" t="s">
        <v>41</v>
      </c>
      <c r="E1798" s="1"/>
      <c r="F1798" s="1"/>
      <c r="G1798" s="1"/>
      <c r="H1798" s="1"/>
    </row>
    <row r="1799" spans="2:8" ht="12.75">
      <c r="B1799" s="6"/>
      <c r="C1799" s="6"/>
      <c r="D1799" s="7"/>
      <c r="E1799" s="1"/>
      <c r="F1799" s="1"/>
      <c r="G1799" s="1"/>
      <c r="H1799" s="1"/>
    </row>
    <row r="1800" spans="2:8" ht="12.75">
      <c r="B1800" s="10" t="s">
        <v>42</v>
      </c>
      <c r="C1800" s="8">
        <v>2850.3</v>
      </c>
      <c r="D1800" s="8"/>
      <c r="E1800" s="1"/>
      <c r="F1800" s="1"/>
      <c r="G1800" s="1"/>
      <c r="H1800" s="1"/>
    </row>
    <row r="1801" spans="2:8" ht="12.75">
      <c r="B1801" s="11" t="s">
        <v>13</v>
      </c>
      <c r="C1801" s="32">
        <v>58.46</v>
      </c>
      <c r="D1801" s="14">
        <f>C1801/2850.3/12*1000</f>
        <v>1.7091768117975883</v>
      </c>
      <c r="E1801" s="1"/>
      <c r="F1801" s="1"/>
      <c r="G1801" s="1"/>
      <c r="H1801" s="1"/>
    </row>
    <row r="1802" spans="2:8" ht="12.75">
      <c r="B1802" s="15" t="s">
        <v>14</v>
      </c>
      <c r="C1802" s="9">
        <f>SUM(C1803:C1805)</f>
        <v>199.37</v>
      </c>
      <c r="D1802" s="9">
        <f>SUM(D1803:D1805)</f>
        <v>5.82891859336444</v>
      </c>
      <c r="E1802" s="1"/>
      <c r="F1802" s="1"/>
      <c r="G1802" s="1"/>
      <c r="H1802" s="1"/>
    </row>
    <row r="1803" spans="2:8" ht="12.75">
      <c r="B1803" s="6" t="s">
        <v>43</v>
      </c>
      <c r="C1803" s="8">
        <f>22.23+30.1</f>
        <v>52.33</v>
      </c>
      <c r="D1803" s="8">
        <f>C1803/2850.3/12*1000</f>
        <v>1.529955911073688</v>
      </c>
      <c r="E1803" s="1"/>
      <c r="F1803" s="1"/>
      <c r="G1803" s="1"/>
      <c r="H1803" s="1"/>
    </row>
    <row r="1804" spans="2:8" ht="12.75">
      <c r="B1804" s="17" t="s">
        <v>44</v>
      </c>
      <c r="C1804" s="8">
        <v>25.18</v>
      </c>
      <c r="D1804" s="8">
        <f>C1804/2850.3/12*1000</f>
        <v>0.7361798173291699</v>
      </c>
      <c r="E1804" s="1"/>
      <c r="F1804" s="1"/>
      <c r="G1804" s="1"/>
      <c r="H1804" s="1"/>
    </row>
    <row r="1805" spans="2:8" ht="12.75">
      <c r="B1805" s="6" t="s">
        <v>16</v>
      </c>
      <c r="C1805" s="8">
        <v>121.86</v>
      </c>
      <c r="D1805" s="8">
        <f>C1805/2850.3/12*1000</f>
        <v>3.5627828649615823</v>
      </c>
      <c r="E1805" s="1"/>
      <c r="F1805" s="1"/>
      <c r="G1805" s="1"/>
      <c r="H1805" s="1"/>
    </row>
    <row r="1806" spans="2:8" ht="12.75">
      <c r="B1806" s="10" t="s">
        <v>19</v>
      </c>
      <c r="C1806" s="22">
        <f>SUM(C1807:C1811)</f>
        <v>86.65</v>
      </c>
      <c r="D1806" s="22">
        <f>SUM(D1807:D1811)</f>
        <v>2.5333590616192447</v>
      </c>
      <c r="E1806" s="1"/>
      <c r="F1806" s="1"/>
      <c r="G1806" s="1"/>
      <c r="H1806" s="1"/>
    </row>
    <row r="1807" spans="2:8" ht="12.75">
      <c r="B1807" s="6" t="s">
        <v>45</v>
      </c>
      <c r="C1807" s="8">
        <f>56.75+11.46+5.74</f>
        <v>73.95</v>
      </c>
      <c r="D1807" s="8">
        <f>C1807/2850.3/12*1000</f>
        <v>2.1620531172157316</v>
      </c>
      <c r="E1807" s="1"/>
      <c r="F1807" s="1"/>
      <c r="G1807" s="1"/>
      <c r="H1807" s="1"/>
    </row>
    <row r="1808" spans="2:8" ht="12.75">
      <c r="B1808" s="6" t="s">
        <v>46</v>
      </c>
      <c r="C1808" s="8">
        <v>0</v>
      </c>
      <c r="D1808" s="8">
        <f>C1808/2850.3/12*1000</f>
        <v>0</v>
      </c>
      <c r="E1808" s="1"/>
      <c r="F1808" s="1"/>
      <c r="G1808" s="1"/>
      <c r="H1808" s="1"/>
    </row>
    <row r="1809" spans="2:8" ht="12.75">
      <c r="B1809" s="20" t="s">
        <v>47</v>
      </c>
      <c r="C1809" s="8">
        <v>1.55</v>
      </c>
      <c r="D1809" s="8">
        <f>C1809/2850.3/12*1000</f>
        <v>0.04531686723035002</v>
      </c>
      <c r="E1809" s="1"/>
      <c r="F1809" s="1"/>
      <c r="G1809" s="1"/>
      <c r="H1809" s="1"/>
    </row>
    <row r="1810" spans="2:8" ht="12.75">
      <c r="B1810" s="8" t="s">
        <v>48</v>
      </c>
      <c r="C1810" s="8">
        <v>9.29</v>
      </c>
      <c r="D1810" s="8">
        <f>C1810/2850.3/12*1000</f>
        <v>0.271608836496743</v>
      </c>
      <c r="E1810" s="1"/>
      <c r="F1810" s="1"/>
      <c r="G1810" s="1"/>
      <c r="H1810" s="1"/>
    </row>
    <row r="1811" spans="2:8" ht="12.75">
      <c r="B1811" s="8" t="s">
        <v>50</v>
      </c>
      <c r="C1811" s="8">
        <v>1.86</v>
      </c>
      <c r="D1811" s="8">
        <f>C1811/2850.3/12*1000</f>
        <v>0.05438024067642002</v>
      </c>
      <c r="E1811" s="1"/>
      <c r="F1811" s="1"/>
      <c r="G1811" s="1"/>
      <c r="H1811" s="1"/>
    </row>
    <row r="1812" spans="2:8" ht="12.75">
      <c r="B1812" s="14" t="s">
        <v>27</v>
      </c>
      <c r="C1812" s="14">
        <f>42.52+6.65</f>
        <v>49.17</v>
      </c>
      <c r="D1812" s="14">
        <f>C1812/2850.3/12*1000</f>
        <v>1.4375679753008455</v>
      </c>
      <c r="E1812" s="1"/>
      <c r="F1812" s="1"/>
      <c r="G1812" s="1"/>
      <c r="H1812" s="1"/>
    </row>
    <row r="1813" spans="2:8" ht="12.75">
      <c r="B1813" s="14"/>
      <c r="C1813" s="14"/>
      <c r="D1813" s="8"/>
      <c r="E1813" s="1"/>
      <c r="F1813" s="1"/>
      <c r="G1813" s="1"/>
      <c r="H1813" s="1"/>
    </row>
    <row r="1814" spans="2:8" ht="12.75">
      <c r="B1814" s="14" t="s">
        <v>29</v>
      </c>
      <c r="C1814" s="23">
        <f>C1801+C1802+C1806+C1812+C1813</f>
        <v>393.65000000000003</v>
      </c>
      <c r="D1814" s="23">
        <f>D1801+D1802+D1806+D1812+D1813</f>
        <v>11.509022442082118</v>
      </c>
      <c r="E1814" s="1"/>
      <c r="F1814" s="1"/>
      <c r="G1814" s="1"/>
      <c r="H1814" s="1"/>
    </row>
    <row r="1815" spans="2:8" ht="12.75">
      <c r="B1815" s="8" t="s">
        <v>51</v>
      </c>
      <c r="C1815" s="8">
        <v>39.37</v>
      </c>
      <c r="D1815" s="8">
        <f>C1815/2850.3/12*1000</f>
        <v>1.1510484276508903</v>
      </c>
      <c r="E1815" s="1"/>
      <c r="F1815" s="1"/>
      <c r="G1815" s="1"/>
      <c r="H1815" s="1"/>
    </row>
    <row r="1816" spans="2:8" ht="12.75">
      <c r="B1816" s="14" t="s">
        <v>31</v>
      </c>
      <c r="C1816" s="23">
        <f>C1814+C1815</f>
        <v>433.02000000000004</v>
      </c>
      <c r="D1816" s="23">
        <f>D1814+D1815</f>
        <v>12.660070869733008</v>
      </c>
      <c r="E1816" s="1"/>
      <c r="F1816" s="1"/>
      <c r="G1816" s="1"/>
      <c r="H1816" s="1"/>
    </row>
    <row r="1817" spans="2:8" ht="12.75">
      <c r="B1817" s="6" t="s">
        <v>34</v>
      </c>
      <c r="C1817" s="23">
        <f>C1816/C1800/12*1000</f>
        <v>12.66007086973301</v>
      </c>
      <c r="D1817" s="8"/>
      <c r="E1817" s="1"/>
      <c r="F1817" s="1"/>
      <c r="G1817" s="1"/>
      <c r="H1817" s="1"/>
    </row>
    <row r="1818" spans="2:8" ht="12.75">
      <c r="B1818" s="1"/>
      <c r="C1818" s="1"/>
      <c r="D1818" s="1"/>
      <c r="E1818" s="1"/>
      <c r="F1818" s="1"/>
      <c r="G1818" s="1"/>
      <c r="H1818" s="1"/>
    </row>
    <row r="1819" spans="2:8" ht="12.75">
      <c r="B1819" s="1" t="s">
        <v>52</v>
      </c>
      <c r="C1819" s="1"/>
      <c r="D1819" s="1"/>
      <c r="E1819" s="1"/>
      <c r="F1819" s="1"/>
      <c r="G1819" s="1"/>
      <c r="H1819" s="1"/>
    </row>
    <row r="1820" spans="2:8" ht="12.75">
      <c r="B1820" s="1"/>
      <c r="C1820" s="1"/>
      <c r="D1820" s="1"/>
      <c r="E1820" s="1"/>
      <c r="F1820" s="1"/>
      <c r="G1820" s="1"/>
      <c r="H1820" s="1"/>
    </row>
    <row r="1821" spans="2:8" ht="12.75">
      <c r="B1821" s="2" t="s">
        <v>0</v>
      </c>
      <c r="C1821" s="2"/>
      <c r="D1821" s="2"/>
      <c r="E1821" s="1"/>
      <c r="F1821" s="1"/>
      <c r="G1821" s="1"/>
      <c r="H1821" s="1"/>
    </row>
    <row r="1822" spans="2:8" ht="12.75">
      <c r="B1822" s="2" t="s">
        <v>65</v>
      </c>
      <c r="C1822" s="2"/>
      <c r="D1822" s="2"/>
      <c r="E1822" s="1"/>
      <c r="F1822" s="1"/>
      <c r="G1822" s="1"/>
      <c r="H1822" s="1"/>
    </row>
    <row r="1823" spans="2:8" ht="12.75">
      <c r="B1823" s="2" t="s">
        <v>136</v>
      </c>
      <c r="C1823" s="2"/>
      <c r="D1823" s="2"/>
      <c r="E1823" s="1"/>
      <c r="F1823" s="1"/>
      <c r="G1823" s="1"/>
      <c r="H1823" s="1"/>
    </row>
    <row r="1824" spans="2:8" ht="12.75">
      <c r="B1824" s="3"/>
      <c r="C1824" s="3"/>
      <c r="D1824" s="1"/>
      <c r="E1824" s="1"/>
      <c r="F1824" s="1"/>
      <c r="G1824" s="1"/>
      <c r="H1824" s="1"/>
    </row>
    <row r="1825" spans="2:8" ht="12.75">
      <c r="B1825" s="5" t="s">
        <v>4</v>
      </c>
      <c r="C1825" s="31" t="s">
        <v>40</v>
      </c>
      <c r="D1825" s="6" t="s">
        <v>41</v>
      </c>
      <c r="E1825" s="1"/>
      <c r="F1825" s="1"/>
      <c r="G1825" s="1"/>
      <c r="H1825" s="1"/>
    </row>
    <row r="1826" spans="2:8" ht="12.75">
      <c r="B1826" s="6"/>
      <c r="C1826" s="6"/>
      <c r="D1826" s="7"/>
      <c r="E1826" s="1"/>
      <c r="F1826" s="1"/>
      <c r="G1826" s="1"/>
      <c r="H1826" s="1"/>
    </row>
    <row r="1827" spans="2:8" ht="12.75">
      <c r="B1827" s="10" t="s">
        <v>42</v>
      </c>
      <c r="C1827" s="8">
        <v>6075.8</v>
      </c>
      <c r="D1827" s="8"/>
      <c r="E1827" s="1"/>
      <c r="F1827" s="1"/>
      <c r="G1827" s="1"/>
      <c r="H1827" s="1"/>
    </row>
    <row r="1828" spans="2:8" ht="12.75">
      <c r="B1828" s="11" t="s">
        <v>13</v>
      </c>
      <c r="C1828" s="32">
        <v>124.61</v>
      </c>
      <c r="D1828" s="14">
        <f>C1828/6075.8/12*1000</f>
        <v>1.709102779332214</v>
      </c>
      <c r="E1828" s="1"/>
      <c r="F1828" s="1"/>
      <c r="G1828" s="1"/>
      <c r="H1828" s="1"/>
    </row>
    <row r="1829" spans="2:8" ht="12.75">
      <c r="B1829" s="15" t="s">
        <v>14</v>
      </c>
      <c r="C1829" s="9">
        <f>SUM(C1830:C1832)</f>
        <v>420.23</v>
      </c>
      <c r="D1829" s="9">
        <f>SUM(D1830:D1832)</f>
        <v>5.763712871830321</v>
      </c>
      <c r="E1829" s="1"/>
      <c r="F1829" s="1"/>
      <c r="G1829" s="1"/>
      <c r="H1829" s="1"/>
    </row>
    <row r="1830" spans="2:8" ht="12.75">
      <c r="B1830" s="6" t="s">
        <v>43</v>
      </c>
      <c r="C1830" s="8">
        <f>47.39+64.16</f>
        <v>111.55</v>
      </c>
      <c r="D1830" s="8">
        <f>C1830/6075.8/12*1000</f>
        <v>1.5299768480419587</v>
      </c>
      <c r="E1830" s="1"/>
      <c r="F1830" s="1"/>
      <c r="G1830" s="1"/>
      <c r="H1830" s="1"/>
    </row>
    <row r="1831" spans="2:8" ht="12.75">
      <c r="B1831" s="17" t="s">
        <v>44</v>
      </c>
      <c r="C1831" s="8">
        <v>53.67</v>
      </c>
      <c r="D1831" s="8">
        <f>C1831/6075.8/12*1000</f>
        <v>0.7361170545442576</v>
      </c>
      <c r="E1831" s="1"/>
      <c r="F1831" s="1"/>
      <c r="G1831" s="1"/>
      <c r="H1831" s="1"/>
    </row>
    <row r="1832" spans="2:8" ht="12.75">
      <c r="B1832" s="6" t="s">
        <v>16</v>
      </c>
      <c r="C1832" s="8">
        <v>255.01</v>
      </c>
      <c r="D1832" s="8">
        <f>C1832/6075.8/12*1000</f>
        <v>3.4976189692441046</v>
      </c>
      <c r="E1832" s="1"/>
      <c r="F1832" s="1"/>
      <c r="G1832" s="1"/>
      <c r="H1832" s="1"/>
    </row>
    <row r="1833" spans="2:8" ht="12.75">
      <c r="B1833" s="10" t="s">
        <v>19</v>
      </c>
      <c r="C1833" s="22">
        <f>SUM(C1834:C1838)</f>
        <v>189.46999999999997</v>
      </c>
      <c r="D1833" s="22">
        <f>SUM(D1834:D1838)</f>
        <v>2.598697565204033</v>
      </c>
      <c r="E1833" s="1"/>
      <c r="F1833" s="1"/>
      <c r="G1833" s="1"/>
      <c r="H1833" s="1"/>
    </row>
    <row r="1834" spans="2:8" ht="12.75">
      <c r="B1834" s="6" t="s">
        <v>45</v>
      </c>
      <c r="C1834" s="8">
        <f>127.61+25.78+12.91</f>
        <v>166.29999999999998</v>
      </c>
      <c r="D1834" s="8">
        <f>C1834/6075.8/12*1000</f>
        <v>2.280906766735793</v>
      </c>
      <c r="E1834" s="1"/>
      <c r="F1834" s="1"/>
      <c r="G1834" s="1"/>
      <c r="H1834" s="1"/>
    </row>
    <row r="1835" spans="2:8" ht="12.75">
      <c r="B1835" s="6" t="s">
        <v>46</v>
      </c>
      <c r="C1835" s="8">
        <v>0</v>
      </c>
      <c r="D1835" s="8">
        <f>C1835/6075.8/12*1000</f>
        <v>0</v>
      </c>
      <c r="E1835" s="1"/>
      <c r="F1835" s="1"/>
      <c r="G1835" s="1"/>
      <c r="H1835" s="1"/>
    </row>
    <row r="1836" spans="2:8" ht="12.75">
      <c r="B1836" s="20" t="s">
        <v>47</v>
      </c>
      <c r="C1836" s="8">
        <v>3.57</v>
      </c>
      <c r="D1836" s="8">
        <f>C1836/6075.8/12*1000</f>
        <v>0.048964745383324</v>
      </c>
      <c r="E1836" s="1"/>
      <c r="F1836" s="1"/>
      <c r="G1836" s="1"/>
      <c r="H1836" s="1"/>
    </row>
    <row r="1837" spans="2:8" ht="12.75">
      <c r="B1837" s="8" t="s">
        <v>48</v>
      </c>
      <c r="C1837" s="8">
        <v>15.79</v>
      </c>
      <c r="D1837" s="8">
        <f>C1837/6075.8/12*1000</f>
        <v>0.21656956011279718</v>
      </c>
      <c r="E1837" s="1"/>
      <c r="F1837" s="1"/>
      <c r="G1837" s="1"/>
      <c r="H1837" s="1"/>
    </row>
    <row r="1838" spans="2:8" ht="12.75">
      <c r="B1838" s="8" t="s">
        <v>50</v>
      </c>
      <c r="C1838" s="8">
        <v>3.81</v>
      </c>
      <c r="D1838" s="8">
        <f>C1838/6075.8/12*1000</f>
        <v>0.0522564929721189</v>
      </c>
      <c r="E1838" s="1"/>
      <c r="F1838" s="1"/>
      <c r="G1838" s="1"/>
      <c r="H1838" s="1"/>
    </row>
    <row r="1839" spans="2:8" ht="12.75">
      <c r="B1839" s="14" t="s">
        <v>27</v>
      </c>
      <c r="C1839" s="14">
        <f>90.65+14.17</f>
        <v>104.82000000000001</v>
      </c>
      <c r="D1839" s="14">
        <f>C1839/6075.8/12*1000</f>
        <v>1.4376707594061686</v>
      </c>
      <c r="E1839" s="1"/>
      <c r="F1839" s="1"/>
      <c r="G1839" s="1"/>
      <c r="H1839" s="1"/>
    </row>
    <row r="1840" spans="2:8" ht="12.75">
      <c r="B1840" s="14"/>
      <c r="C1840" s="14"/>
      <c r="D1840" s="8"/>
      <c r="E1840" s="1"/>
      <c r="F1840" s="1"/>
      <c r="G1840" s="1"/>
      <c r="H1840" s="1"/>
    </row>
    <row r="1841" spans="2:8" ht="12.75">
      <c r="B1841" s="14" t="s">
        <v>29</v>
      </c>
      <c r="C1841" s="23">
        <f>C1828+C1829+C1833+C1839+C1840</f>
        <v>839.13</v>
      </c>
      <c r="D1841" s="23">
        <f>D1828+D1829+D1833+D1839+D1840</f>
        <v>11.509183975772736</v>
      </c>
      <c r="E1841" s="1"/>
      <c r="F1841" s="1"/>
      <c r="G1841" s="1"/>
      <c r="H1841" s="1"/>
    </row>
    <row r="1842" spans="2:8" ht="12.75">
      <c r="B1842" s="8" t="s">
        <v>51</v>
      </c>
      <c r="C1842" s="8">
        <v>83.91</v>
      </c>
      <c r="D1842" s="8">
        <f>C1842/6075.8/12*1000</f>
        <v>1.1508772507324139</v>
      </c>
      <c r="E1842" s="1"/>
      <c r="F1842" s="1"/>
      <c r="G1842" s="1"/>
      <c r="H1842" s="1"/>
    </row>
    <row r="1843" spans="2:8" ht="12.75">
      <c r="B1843" s="14" t="s">
        <v>31</v>
      </c>
      <c r="C1843" s="23">
        <f>C1841+C1842</f>
        <v>923.04</v>
      </c>
      <c r="D1843" s="23">
        <f>D1841+D1842</f>
        <v>12.66006122650515</v>
      </c>
      <c r="E1843" s="1"/>
      <c r="F1843" s="1"/>
      <c r="G1843" s="1"/>
      <c r="H1843" s="1"/>
    </row>
    <row r="1844" spans="2:8" ht="12.75">
      <c r="B1844" s="6" t="s">
        <v>34</v>
      </c>
      <c r="C1844" s="23">
        <f>C1843/C1827/12*1000</f>
        <v>12.66006122650515</v>
      </c>
      <c r="D1844" s="8"/>
      <c r="E1844" s="1"/>
      <c r="F1844" s="1"/>
      <c r="G1844" s="1"/>
      <c r="H1844" s="1"/>
    </row>
    <row r="1845" spans="2:8" ht="12.75">
      <c r="B1845" s="1"/>
      <c r="C1845" s="1"/>
      <c r="D1845" s="1"/>
      <c r="E1845" s="1"/>
      <c r="F1845" s="1"/>
      <c r="G1845" s="1"/>
      <c r="H1845" s="1"/>
    </row>
    <row r="1846" spans="2:8" ht="12.75">
      <c r="B1846" s="1" t="s">
        <v>52</v>
      </c>
      <c r="C1846" s="1"/>
      <c r="D1846" s="1"/>
      <c r="E1846" s="1"/>
      <c r="F1846" s="1"/>
      <c r="G1846" s="1"/>
      <c r="H1846" s="1"/>
    </row>
    <row r="1847" spans="2:8" ht="12.75">
      <c r="B1847" s="1"/>
      <c r="C1847" s="1"/>
      <c r="D1847" s="1"/>
      <c r="E1847" s="1"/>
      <c r="F1847" s="1"/>
      <c r="G1847" s="1"/>
      <c r="H1847" s="1"/>
    </row>
    <row r="1848" spans="2:8" ht="12.75">
      <c r="B1848" s="2" t="s">
        <v>0</v>
      </c>
      <c r="C1848" s="2"/>
      <c r="D1848" s="2"/>
      <c r="E1848" s="1"/>
      <c r="F1848" s="1"/>
      <c r="G1848" s="1"/>
      <c r="H1848" s="1"/>
    </row>
    <row r="1849" spans="2:8" ht="12.75">
      <c r="B1849" s="2" t="s">
        <v>65</v>
      </c>
      <c r="C1849" s="2"/>
      <c r="D1849" s="2"/>
      <c r="E1849" s="1"/>
      <c r="F1849" s="1"/>
      <c r="G1849" s="1"/>
      <c r="H1849" s="1"/>
    </row>
    <row r="1850" spans="2:8" ht="12.75">
      <c r="B1850" s="2" t="s">
        <v>137</v>
      </c>
      <c r="C1850" s="2"/>
      <c r="D1850" s="2"/>
      <c r="E1850" s="1"/>
      <c r="F1850" s="1"/>
      <c r="G1850" s="1"/>
      <c r="H1850" s="1"/>
    </row>
    <row r="1851" spans="2:8" ht="12.75">
      <c r="B1851" s="3"/>
      <c r="C1851" s="3"/>
      <c r="D1851" s="1"/>
      <c r="E1851" s="1"/>
      <c r="F1851" s="1"/>
      <c r="G1851" s="1"/>
      <c r="H1851" s="1"/>
    </row>
    <row r="1852" spans="2:8" ht="12.75">
      <c r="B1852" s="5" t="s">
        <v>4</v>
      </c>
      <c r="C1852" s="6" t="s">
        <v>63</v>
      </c>
      <c r="D1852" s="6" t="s">
        <v>41</v>
      </c>
      <c r="E1852" s="1"/>
      <c r="F1852" s="1"/>
      <c r="G1852" s="1"/>
      <c r="H1852" s="1"/>
    </row>
    <row r="1853" spans="2:8" ht="12.75">
      <c r="B1853" s="6"/>
      <c r="C1853" s="6"/>
      <c r="D1853" s="7"/>
      <c r="E1853" s="1"/>
      <c r="F1853" s="1"/>
      <c r="G1853" s="1"/>
      <c r="H1853" s="1"/>
    </row>
    <row r="1854" spans="2:8" ht="12.75">
      <c r="B1854" s="10" t="s">
        <v>42</v>
      </c>
      <c r="C1854" s="8">
        <v>3657.1</v>
      </c>
      <c r="D1854" s="8"/>
      <c r="E1854" s="1"/>
      <c r="F1854" s="1"/>
      <c r="G1854" s="1"/>
      <c r="H1854" s="1"/>
    </row>
    <row r="1855" spans="2:8" ht="12.75">
      <c r="B1855" s="11" t="s">
        <v>13</v>
      </c>
      <c r="C1855" s="32">
        <v>80.08</v>
      </c>
      <c r="D1855" s="14">
        <f>C1855/3657.1/12*1000</f>
        <v>1.8247609672509182</v>
      </c>
      <c r="E1855" s="1"/>
      <c r="F1855" s="1"/>
      <c r="G1855" s="1"/>
      <c r="H1855" s="1"/>
    </row>
    <row r="1856" spans="2:8" ht="12.75">
      <c r="B1856" s="15" t="s">
        <v>14</v>
      </c>
      <c r="C1856" s="9">
        <f>SUM(C1857:C1859)</f>
        <v>305.08000000000004</v>
      </c>
      <c r="D1856" s="9">
        <f>SUM(D1857:D1859)</f>
        <v>6.95177417443694</v>
      </c>
      <c r="E1856" s="1"/>
      <c r="F1856" s="1"/>
      <c r="G1856" s="1"/>
      <c r="H1856" s="1"/>
    </row>
    <row r="1857" spans="2:8" ht="12.75">
      <c r="B1857" s="6" t="s">
        <v>59</v>
      </c>
      <c r="C1857" s="8">
        <f>28.53+38.62</f>
        <v>67.15</v>
      </c>
      <c r="D1857" s="8">
        <f>C1857/3657.1/12*1000</f>
        <v>1.5301286082779615</v>
      </c>
      <c r="E1857" s="1"/>
      <c r="F1857" s="1"/>
      <c r="G1857" s="1"/>
      <c r="H1857" s="1"/>
    </row>
    <row r="1858" spans="2:8" ht="12.75">
      <c r="B1858" s="17" t="s">
        <v>44</v>
      </c>
      <c r="C1858" s="8">
        <v>32.31</v>
      </c>
      <c r="D1858" s="8">
        <f>C1858/3657.1/12*1000</f>
        <v>0.7362390965519128</v>
      </c>
      <c r="E1858" s="1"/>
      <c r="F1858" s="1"/>
      <c r="G1858" s="1"/>
      <c r="H1858" s="1"/>
    </row>
    <row r="1859" spans="2:8" ht="12.75">
      <c r="B1859" s="6" t="s">
        <v>16</v>
      </c>
      <c r="C1859" s="8">
        <v>205.62</v>
      </c>
      <c r="D1859" s="8">
        <f>C1859/3657.1/12*1000</f>
        <v>4.685406469607066</v>
      </c>
      <c r="E1859" s="1"/>
      <c r="F1859" s="1"/>
      <c r="G1859" s="1"/>
      <c r="H1859" s="1"/>
    </row>
    <row r="1860" spans="2:8" ht="12.75">
      <c r="B1860" s="10" t="s">
        <v>19</v>
      </c>
      <c r="C1860" s="22">
        <f>SUM(C1861:C1865)</f>
        <v>96.41000000000001</v>
      </c>
      <c r="D1860" s="22">
        <f>SUM(D1861:D1865)</f>
        <v>2.1968681924657973</v>
      </c>
      <c r="E1860" s="1"/>
      <c r="F1860" s="1"/>
      <c r="G1860" s="1"/>
      <c r="H1860" s="1"/>
    </row>
    <row r="1861" spans="2:8" ht="12.75">
      <c r="B1861" s="6" t="s">
        <v>45</v>
      </c>
      <c r="C1861" s="8">
        <f>64.62+13.05+6.54</f>
        <v>84.21000000000001</v>
      </c>
      <c r="D1861" s="8">
        <f>C1861/3657.1/12*1000</f>
        <v>1.9188701430094885</v>
      </c>
      <c r="E1861" s="1"/>
      <c r="F1861" s="1"/>
      <c r="G1861" s="1"/>
      <c r="H1861" s="1"/>
    </row>
    <row r="1862" spans="2:8" ht="12.75">
      <c r="B1862" s="6" t="s">
        <v>46</v>
      </c>
      <c r="C1862" s="8">
        <v>0</v>
      </c>
      <c r="D1862" s="8">
        <f>C1862/3657.1/12*1000</f>
        <v>0</v>
      </c>
      <c r="E1862" s="1"/>
      <c r="F1862" s="1"/>
      <c r="G1862" s="1"/>
      <c r="H1862" s="1"/>
    </row>
    <row r="1863" spans="2:8" ht="12.75">
      <c r="B1863" s="20" t="s">
        <v>47</v>
      </c>
      <c r="C1863" s="8">
        <v>2.03</v>
      </c>
      <c r="D1863" s="8">
        <f>C1863/3657.1/12*1000</f>
        <v>0.04625705249150055</v>
      </c>
      <c r="E1863" s="1"/>
      <c r="F1863" s="1"/>
      <c r="G1863" s="1"/>
      <c r="H1863" s="1"/>
    </row>
    <row r="1864" spans="2:8" ht="12.75">
      <c r="B1864" s="8" t="s">
        <v>48</v>
      </c>
      <c r="C1864" s="8">
        <v>8.49</v>
      </c>
      <c r="D1864" s="8">
        <f>C1864/3657.1/12*1000</f>
        <v>0.19345929835115255</v>
      </c>
      <c r="E1864" s="1"/>
      <c r="F1864" s="1"/>
      <c r="G1864" s="1"/>
      <c r="H1864" s="1"/>
    </row>
    <row r="1865" spans="2:8" ht="12.75">
      <c r="B1865" s="8" t="s">
        <v>50</v>
      </c>
      <c r="C1865" s="8">
        <v>1.6800000000000002</v>
      </c>
      <c r="D1865" s="8">
        <f>C1865/3657.1/12*1000</f>
        <v>0.038281698613655636</v>
      </c>
      <c r="E1865" s="1"/>
      <c r="F1865" s="1"/>
      <c r="G1865" s="1"/>
      <c r="H1865" s="1"/>
    </row>
    <row r="1866" spans="2:8" ht="12.75">
      <c r="B1866" s="14" t="s">
        <v>27</v>
      </c>
      <c r="C1866" s="14">
        <v>66.21</v>
      </c>
      <c r="D1866" s="14">
        <f>C1866/3657.1/12*1000</f>
        <v>1.5087090864346064</v>
      </c>
      <c r="E1866" s="1"/>
      <c r="F1866" s="1"/>
      <c r="G1866" s="1"/>
      <c r="H1866" s="1"/>
    </row>
    <row r="1867" spans="2:8" ht="12.75">
      <c r="B1867" s="14"/>
      <c r="C1867" s="14"/>
      <c r="D1867" s="8"/>
      <c r="E1867" s="1"/>
      <c r="F1867" s="1"/>
      <c r="G1867" s="1"/>
      <c r="H1867" s="1"/>
    </row>
    <row r="1868" spans="2:8" ht="12.75">
      <c r="B1868" s="14" t="s">
        <v>29</v>
      </c>
      <c r="C1868" s="23">
        <f>C1855+C1856+C1860+C1866+C1867</f>
        <v>547.7800000000001</v>
      </c>
      <c r="D1868" s="23">
        <f>D1855+D1856+D1860+D1866+D1867</f>
        <v>12.482112420588262</v>
      </c>
      <c r="E1868" s="1"/>
      <c r="F1868" s="1"/>
      <c r="G1868" s="1"/>
      <c r="H1868" s="1"/>
    </row>
    <row r="1869" spans="2:8" ht="12.75">
      <c r="B1869" s="8" t="s">
        <v>51</v>
      </c>
      <c r="C1869" s="8">
        <v>54.8</v>
      </c>
      <c r="D1869" s="8">
        <v>1.25</v>
      </c>
      <c r="E1869" s="1"/>
      <c r="F1869" s="1"/>
      <c r="G1869" s="1"/>
      <c r="H1869" s="1"/>
    </row>
    <row r="1870" spans="2:8" ht="12.75">
      <c r="B1870" s="14" t="s">
        <v>31</v>
      </c>
      <c r="C1870" s="23">
        <f>C1868+C1869</f>
        <v>602.58</v>
      </c>
      <c r="D1870" s="23">
        <f>D1868+D1869</f>
        <v>13.732112420588262</v>
      </c>
      <c r="E1870" s="1"/>
      <c r="F1870" s="1"/>
      <c r="G1870" s="1"/>
      <c r="H1870" s="1"/>
    </row>
    <row r="1871" spans="2:8" ht="12.75">
      <c r="B1871" s="6" t="s">
        <v>34</v>
      </c>
      <c r="C1871" s="23">
        <f>C1870/C1854/12*1000</f>
        <v>13.730824970605127</v>
      </c>
      <c r="D1871" s="8"/>
      <c r="E1871" s="1"/>
      <c r="F1871" s="1"/>
      <c r="G1871" s="1"/>
      <c r="H1871" s="1"/>
    </row>
    <row r="1872" spans="2:8" ht="12.75">
      <c r="B1872" s="1"/>
      <c r="C1872" s="1"/>
      <c r="D1872" s="1"/>
      <c r="E1872" s="1"/>
      <c r="F1872" s="1"/>
      <c r="G1872" s="1"/>
      <c r="H1872" s="1"/>
    </row>
    <row r="1873" spans="2:8" ht="12.75">
      <c r="B1873" s="1" t="s">
        <v>52</v>
      </c>
      <c r="C1873" s="1"/>
      <c r="D1873" s="1"/>
      <c r="E1873" s="1"/>
      <c r="F1873" s="1"/>
      <c r="G1873" s="1"/>
      <c r="H1873" s="1"/>
    </row>
    <row r="1874" spans="2:8" ht="12.75">
      <c r="B1874" s="1"/>
      <c r="C1874" s="1"/>
      <c r="D1874" s="1"/>
      <c r="E1874" s="1"/>
      <c r="F1874" s="1"/>
      <c r="G1874" s="1"/>
      <c r="H1874" s="1"/>
    </row>
    <row r="1875" spans="2:8" ht="12.75">
      <c r="B1875" s="2" t="s">
        <v>0</v>
      </c>
      <c r="C1875" s="2"/>
      <c r="D1875" s="2"/>
      <c r="E1875" s="1"/>
      <c r="F1875" s="1"/>
      <c r="G1875" s="1"/>
      <c r="H1875" s="1"/>
    </row>
    <row r="1876" spans="2:8" ht="12.75">
      <c r="B1876" s="2" t="s">
        <v>65</v>
      </c>
      <c r="C1876" s="2"/>
      <c r="D1876" s="2"/>
      <c r="E1876" s="1"/>
      <c r="F1876" s="1"/>
      <c r="G1876" s="1"/>
      <c r="H1876" s="1"/>
    </row>
    <row r="1877" spans="2:8" ht="12.75">
      <c r="B1877" s="2" t="s">
        <v>138</v>
      </c>
      <c r="C1877" s="2"/>
      <c r="D1877" s="2"/>
      <c r="E1877" s="1"/>
      <c r="F1877" s="1"/>
      <c r="G1877" s="1"/>
      <c r="H1877" s="1"/>
    </row>
    <row r="1878" spans="2:8" ht="12.75">
      <c r="B1878" s="3"/>
      <c r="C1878" s="3"/>
      <c r="D1878" s="1"/>
      <c r="E1878" s="1"/>
      <c r="F1878" s="1"/>
      <c r="G1878" s="1"/>
      <c r="H1878" s="1"/>
    </row>
    <row r="1879" spans="2:8" ht="12.75">
      <c r="B1879" s="5" t="s">
        <v>4</v>
      </c>
      <c r="C1879" s="31" t="s">
        <v>40</v>
      </c>
      <c r="D1879" s="6" t="s">
        <v>41</v>
      </c>
      <c r="E1879" s="1"/>
      <c r="F1879" s="1"/>
      <c r="G1879" s="1"/>
      <c r="H1879" s="1"/>
    </row>
    <row r="1880" spans="2:8" ht="12.75">
      <c r="B1880" s="6"/>
      <c r="C1880" s="6"/>
      <c r="D1880" s="7"/>
      <c r="E1880" s="1"/>
      <c r="F1880" s="1"/>
      <c r="G1880" s="1"/>
      <c r="H1880" s="1"/>
    </row>
    <row r="1881" spans="2:8" ht="12.75">
      <c r="B1881" s="10" t="s">
        <v>42</v>
      </c>
      <c r="C1881" s="8">
        <v>3171</v>
      </c>
      <c r="D1881" s="8"/>
      <c r="E1881" s="1"/>
      <c r="F1881" s="1"/>
      <c r="G1881" s="1"/>
      <c r="H1881" s="1"/>
    </row>
    <row r="1882" spans="2:8" ht="12.75">
      <c r="B1882" s="11" t="s">
        <v>13</v>
      </c>
      <c r="C1882" s="32">
        <v>65.03</v>
      </c>
      <c r="D1882" s="14">
        <f>C1882/3171/12*1000</f>
        <v>1.7089771891096397</v>
      </c>
      <c r="E1882" s="1"/>
      <c r="F1882" s="1"/>
      <c r="G1882" s="1"/>
      <c r="H1882" s="1"/>
    </row>
    <row r="1883" spans="2:8" ht="12.75">
      <c r="B1883" s="15" t="s">
        <v>14</v>
      </c>
      <c r="C1883" s="9">
        <f>SUM(C1884:C1886)</f>
        <v>211.38</v>
      </c>
      <c r="D1883" s="8">
        <f>C1883/3171/12*1000</f>
        <v>5.555029959003469</v>
      </c>
      <c r="E1883" s="1"/>
      <c r="F1883" s="1"/>
      <c r="G1883" s="1"/>
      <c r="H1883" s="1"/>
    </row>
    <row r="1884" spans="2:8" ht="12.75">
      <c r="B1884" s="6" t="s">
        <v>43</v>
      </c>
      <c r="C1884" s="8">
        <f>24.74+33.48</f>
        <v>58.22</v>
      </c>
      <c r="D1884" s="8">
        <f>C1884/3171/12*1000</f>
        <v>1.5300115631241458</v>
      </c>
      <c r="E1884" s="1"/>
      <c r="F1884" s="1"/>
      <c r="G1884" s="1"/>
      <c r="H1884" s="1"/>
    </row>
    <row r="1885" spans="2:8" ht="12.75">
      <c r="B1885" s="17" t="s">
        <v>44</v>
      </c>
      <c r="C1885" s="8">
        <v>28.01</v>
      </c>
      <c r="D1885" s="8">
        <f>C1885/3171/12*1000</f>
        <v>0.736097971197309</v>
      </c>
      <c r="E1885" s="1"/>
      <c r="F1885" s="1"/>
      <c r="G1885" s="1"/>
      <c r="H1885" s="1"/>
    </row>
    <row r="1886" spans="2:8" ht="12.75">
      <c r="B1886" s="6" t="s">
        <v>16</v>
      </c>
      <c r="C1886" s="8">
        <v>125.15</v>
      </c>
      <c r="D1886" s="8">
        <f>C1886/3171/12*1000</f>
        <v>3.288920424682014</v>
      </c>
      <c r="E1886" s="1"/>
      <c r="F1886" s="1"/>
      <c r="G1886" s="1"/>
      <c r="H1886" s="1"/>
    </row>
    <row r="1887" spans="2:8" ht="12.75">
      <c r="B1887" s="10" t="s">
        <v>19</v>
      </c>
      <c r="C1887" s="22">
        <f>SUM(C1888:C1892)</f>
        <v>106.82</v>
      </c>
      <c r="D1887" s="8">
        <f>C1887/3171/12*1000</f>
        <v>2.807211184694628</v>
      </c>
      <c r="E1887" s="1"/>
      <c r="F1887" s="1"/>
      <c r="G1887" s="1"/>
      <c r="H1887" s="1"/>
    </row>
    <row r="1888" spans="2:8" ht="12.75">
      <c r="B1888" s="6" t="s">
        <v>45</v>
      </c>
      <c r="C1888" s="8">
        <f>71.6+14.46+7.25</f>
        <v>93.31</v>
      </c>
      <c r="D1888" s="8">
        <f>C1888/3171/12*1000</f>
        <v>2.452170713760118</v>
      </c>
      <c r="E1888" s="1"/>
      <c r="F1888" s="1"/>
      <c r="G1888" s="1"/>
      <c r="H1888" s="1"/>
    </row>
    <row r="1889" spans="2:8" ht="12.75">
      <c r="B1889" s="6" t="s">
        <v>46</v>
      </c>
      <c r="C1889" s="8">
        <v>0</v>
      </c>
      <c r="D1889" s="8">
        <f>C1889/3171/12*1000</f>
        <v>0</v>
      </c>
      <c r="E1889" s="1"/>
      <c r="F1889" s="1"/>
      <c r="G1889" s="1"/>
      <c r="H1889" s="1"/>
    </row>
    <row r="1890" spans="2:8" ht="12.75">
      <c r="B1890" s="20" t="s">
        <v>47</v>
      </c>
      <c r="C1890" s="8">
        <v>2.03</v>
      </c>
      <c r="D1890" s="8">
        <f>C1890/3171/12*1000</f>
        <v>0.05334805003679175</v>
      </c>
      <c r="E1890" s="1"/>
      <c r="F1890" s="1"/>
      <c r="G1890" s="1"/>
      <c r="H1890" s="1"/>
    </row>
    <row r="1891" spans="2:8" ht="12.75">
      <c r="B1891" s="8" t="s">
        <v>48</v>
      </c>
      <c r="C1891" s="8">
        <v>9.29</v>
      </c>
      <c r="D1891" s="8">
        <f>C1891/3171/12*1000</f>
        <v>0.2441395984442342</v>
      </c>
      <c r="E1891" s="1"/>
      <c r="F1891" s="1"/>
      <c r="G1891" s="1"/>
      <c r="H1891" s="1"/>
    </row>
    <row r="1892" spans="2:8" ht="12.75">
      <c r="B1892" s="8" t="s">
        <v>50</v>
      </c>
      <c r="C1892" s="8">
        <v>2.19</v>
      </c>
      <c r="D1892" s="8">
        <f>C1892/3171/12*1000</f>
        <v>0.057552822453484705</v>
      </c>
      <c r="E1892" s="1"/>
      <c r="F1892" s="1"/>
      <c r="G1892" s="1"/>
      <c r="H1892" s="1"/>
    </row>
    <row r="1893" spans="2:8" ht="12.75">
      <c r="B1893" s="14" t="s">
        <v>27</v>
      </c>
      <c r="C1893" s="14">
        <f>47.31+7.39</f>
        <v>54.7</v>
      </c>
      <c r="D1893" s="8">
        <f>C1893/3171/12*1000</f>
        <v>1.4375065699569012</v>
      </c>
      <c r="E1893" s="1"/>
      <c r="F1893" s="1"/>
      <c r="G1893" s="1"/>
      <c r="H1893" s="1"/>
    </row>
    <row r="1894" spans="2:8" ht="12.75">
      <c r="B1894" s="14"/>
      <c r="C1894" s="14"/>
      <c r="D1894" s="8">
        <f>C1894/3171/12*1000</f>
        <v>0</v>
      </c>
      <c r="E1894" s="1"/>
      <c r="F1894" s="1"/>
      <c r="G1894" s="1"/>
      <c r="H1894" s="1"/>
    </row>
    <row r="1895" spans="2:8" ht="12.75">
      <c r="B1895" s="14" t="s">
        <v>29</v>
      </c>
      <c r="C1895" s="23">
        <f>C1882+C1883+C1887+C1893+C1894</f>
        <v>437.92999999999995</v>
      </c>
      <c r="D1895" s="8">
        <f>C1895/3171/12*1000</f>
        <v>11.508724902764637</v>
      </c>
      <c r="E1895" s="1"/>
      <c r="F1895" s="1"/>
      <c r="G1895" s="1"/>
      <c r="H1895" s="1"/>
    </row>
    <row r="1896" spans="2:8" ht="12.75">
      <c r="B1896" s="8" t="s">
        <v>51</v>
      </c>
      <c r="C1896" s="8">
        <v>43.79</v>
      </c>
      <c r="D1896" s="8">
        <f>C1896/3171/12*1000</f>
        <v>1.1507936507936507</v>
      </c>
      <c r="E1896" s="1"/>
      <c r="F1896" s="1"/>
      <c r="G1896" s="1"/>
      <c r="H1896" s="1"/>
    </row>
    <row r="1897" spans="2:8" ht="12.75">
      <c r="B1897" s="14" t="s">
        <v>31</v>
      </c>
      <c r="C1897" s="23">
        <f>C1895+C1896</f>
        <v>481.71999999999997</v>
      </c>
      <c r="D1897" s="23">
        <f>D1895+D1896</f>
        <v>12.659518553558287</v>
      </c>
      <c r="E1897" s="1"/>
      <c r="F1897" s="1"/>
      <c r="G1897" s="1"/>
      <c r="H1897" s="1"/>
    </row>
    <row r="1898" spans="2:8" ht="12.75">
      <c r="B1898" s="6" t="s">
        <v>34</v>
      </c>
      <c r="C1898" s="23">
        <f>C1897/C1881/12*1000</f>
        <v>12.65951855355829</v>
      </c>
      <c r="D1898" s="8"/>
      <c r="E1898" s="1"/>
      <c r="F1898" s="1"/>
      <c r="G1898" s="1"/>
      <c r="H1898" s="1"/>
    </row>
    <row r="1899" spans="2:8" ht="12.75">
      <c r="B1899" s="1"/>
      <c r="C1899" s="1"/>
      <c r="D1899" s="1"/>
      <c r="E1899" s="1"/>
      <c r="F1899" s="1"/>
      <c r="G1899" s="1"/>
      <c r="H1899" s="1"/>
    </row>
    <row r="1900" spans="2:8" ht="12.75">
      <c r="B1900" s="1" t="s">
        <v>52</v>
      </c>
      <c r="C1900" s="1"/>
      <c r="D1900" s="1"/>
      <c r="E1900" s="1"/>
      <c r="F1900" s="1"/>
      <c r="G1900" s="1"/>
      <c r="H1900" s="1"/>
    </row>
    <row r="1901" spans="2:8" ht="12.75">
      <c r="B1901" s="1"/>
      <c r="C1901" s="1"/>
      <c r="D1901" s="1"/>
      <c r="E1901" s="1"/>
      <c r="F1901" s="1"/>
      <c r="G1901" s="1"/>
      <c r="H1901" s="1"/>
    </row>
    <row r="1902" spans="2:8" ht="12.75">
      <c r="B1902" s="2" t="s">
        <v>0</v>
      </c>
      <c r="C1902" s="2"/>
      <c r="D1902" s="2"/>
      <c r="E1902" s="1"/>
      <c r="F1902" s="1"/>
      <c r="G1902" s="1"/>
      <c r="H1902" s="1"/>
    </row>
    <row r="1903" spans="2:8" ht="12.75">
      <c r="B1903" s="2" t="s">
        <v>65</v>
      </c>
      <c r="C1903" s="2"/>
      <c r="D1903" s="2"/>
      <c r="E1903" s="1"/>
      <c r="F1903" s="1"/>
      <c r="G1903" s="1"/>
      <c r="H1903" s="1"/>
    </row>
    <row r="1904" spans="2:8" ht="12.75">
      <c r="B1904" s="2" t="s">
        <v>139</v>
      </c>
      <c r="C1904" s="2"/>
      <c r="D1904" s="2"/>
      <c r="E1904" s="1"/>
      <c r="F1904" s="1"/>
      <c r="G1904" s="1"/>
      <c r="H1904" s="1"/>
    </row>
    <row r="1905" spans="2:8" ht="12.75">
      <c r="B1905" s="3"/>
      <c r="C1905" s="3"/>
      <c r="D1905" s="1"/>
      <c r="E1905" s="1"/>
      <c r="F1905" s="1"/>
      <c r="G1905" s="1"/>
      <c r="H1905" s="1"/>
    </row>
    <row r="1906" spans="2:8" ht="12.75">
      <c r="B1906" s="5" t="s">
        <v>4</v>
      </c>
      <c r="C1906" s="31" t="s">
        <v>40</v>
      </c>
      <c r="D1906" s="6" t="s">
        <v>41</v>
      </c>
      <c r="E1906" s="1"/>
      <c r="F1906" s="1"/>
      <c r="G1906" s="1"/>
      <c r="H1906" s="1"/>
    </row>
    <row r="1907" spans="2:8" ht="12.75">
      <c r="B1907" s="6"/>
      <c r="C1907" s="6"/>
      <c r="D1907" s="7"/>
      <c r="E1907" s="1"/>
      <c r="F1907" s="1"/>
      <c r="G1907" s="1"/>
      <c r="H1907" s="1"/>
    </row>
    <row r="1908" spans="2:8" ht="12.75">
      <c r="B1908" s="10" t="s">
        <v>42</v>
      </c>
      <c r="C1908" s="8">
        <v>1905.5</v>
      </c>
      <c r="D1908" s="8"/>
      <c r="E1908" s="1"/>
      <c r="F1908" s="1"/>
      <c r="G1908" s="1"/>
      <c r="H1908" s="1"/>
    </row>
    <row r="1909" spans="2:8" ht="12.75">
      <c r="B1909" s="11" t="s">
        <v>13</v>
      </c>
      <c r="C1909" s="32">
        <v>39.08</v>
      </c>
      <c r="D1909" s="14">
        <f>C1909/1905.5/12*1000</f>
        <v>1.709087728505204</v>
      </c>
      <c r="E1909" s="1"/>
      <c r="F1909" s="1"/>
      <c r="G1909" s="1"/>
      <c r="H1909" s="1"/>
    </row>
    <row r="1910" spans="2:8" ht="12.75">
      <c r="B1910" s="15" t="s">
        <v>14</v>
      </c>
      <c r="C1910" s="9">
        <f>SUM(C1911:C1913)</f>
        <v>124.67</v>
      </c>
      <c r="D1910" s="9">
        <f>SUM(D1911:D1913)</f>
        <v>5.452199772588122</v>
      </c>
      <c r="E1910" s="1"/>
      <c r="F1910" s="1"/>
      <c r="G1910" s="1"/>
      <c r="H1910" s="1"/>
    </row>
    <row r="1911" spans="2:8" ht="12.75">
      <c r="B1911" s="6" t="s">
        <v>43</v>
      </c>
      <c r="C1911" s="8">
        <f>14.86+20.12</f>
        <v>34.980000000000004</v>
      </c>
      <c r="D1911" s="8">
        <f>C1911/1905.5/12*1000</f>
        <v>1.52978220939386</v>
      </c>
      <c r="E1911" s="1"/>
      <c r="F1911" s="1"/>
      <c r="G1911" s="1"/>
      <c r="H1911" s="1"/>
    </row>
    <row r="1912" spans="2:8" ht="12.75">
      <c r="B1912" s="17" t="s">
        <v>44</v>
      </c>
      <c r="C1912" s="8">
        <v>16.83</v>
      </c>
      <c r="D1912" s="8">
        <f>C1912/1905.5/12*1000</f>
        <v>0.7360272894253476</v>
      </c>
      <c r="E1912" s="1"/>
      <c r="F1912" s="1"/>
      <c r="G1912" s="1"/>
      <c r="H1912" s="1"/>
    </row>
    <row r="1913" spans="2:8" ht="12.75">
      <c r="B1913" s="6" t="s">
        <v>16</v>
      </c>
      <c r="C1913" s="8">
        <v>72.86</v>
      </c>
      <c r="D1913" s="8">
        <f>C1913/1905.5/12*1000</f>
        <v>3.1863902737689145</v>
      </c>
      <c r="E1913" s="1"/>
      <c r="F1913" s="1"/>
      <c r="G1913" s="1"/>
      <c r="H1913" s="1"/>
    </row>
    <row r="1914" spans="2:8" ht="12.75">
      <c r="B1914" s="10" t="s">
        <v>19</v>
      </c>
      <c r="C1914" s="22">
        <f>SUM(C1915:C1919)</f>
        <v>66.53</v>
      </c>
      <c r="D1914" s="22">
        <f>SUM(D1915:D1919)</f>
        <v>2.909560045482376</v>
      </c>
      <c r="E1914" s="1"/>
      <c r="F1914" s="1"/>
      <c r="G1914" s="1"/>
      <c r="H1914" s="1"/>
    </row>
    <row r="1915" spans="2:8" ht="12.75">
      <c r="B1915" s="6" t="s">
        <v>45</v>
      </c>
      <c r="C1915" s="8">
        <f>45.39+9.17+4.59</f>
        <v>59.150000000000006</v>
      </c>
      <c r="D1915" s="8">
        <f>C1915/1905.5/12*1000</f>
        <v>2.586810111081956</v>
      </c>
      <c r="E1915" s="1"/>
      <c r="F1915" s="1"/>
      <c r="G1915" s="1"/>
      <c r="H1915" s="1"/>
    </row>
    <row r="1916" spans="2:8" ht="12.75">
      <c r="B1916" s="6" t="s">
        <v>46</v>
      </c>
      <c r="C1916" s="8">
        <v>0</v>
      </c>
      <c r="D1916" s="8">
        <f>C1916/1905.5/12*1000</f>
        <v>0</v>
      </c>
      <c r="E1916" s="1"/>
      <c r="F1916" s="1"/>
      <c r="G1916" s="1"/>
      <c r="H1916" s="1"/>
    </row>
    <row r="1917" spans="2:8" ht="12.75">
      <c r="B1917" s="20" t="s">
        <v>47</v>
      </c>
      <c r="C1917" s="8">
        <v>1.24</v>
      </c>
      <c r="D1917" s="8">
        <f>C1917/1905.5/12*1000</f>
        <v>0.054228986267821216</v>
      </c>
      <c r="E1917" s="1"/>
      <c r="F1917" s="1"/>
      <c r="G1917" s="1"/>
      <c r="H1917" s="1"/>
    </row>
    <row r="1918" spans="2:8" ht="12.75">
      <c r="B1918" s="8" t="s">
        <v>48</v>
      </c>
      <c r="C1918" s="8">
        <v>4.78</v>
      </c>
      <c r="D1918" s="8">
        <f>C1918/1905.5/12*1000</f>
        <v>0.20904399545176244</v>
      </c>
      <c r="E1918" s="1"/>
      <c r="F1918" s="1"/>
      <c r="G1918" s="1"/>
      <c r="H1918" s="1"/>
    </row>
    <row r="1919" spans="2:8" ht="12.75">
      <c r="B1919" s="8" t="s">
        <v>50</v>
      </c>
      <c r="C1919" s="8">
        <v>1.36</v>
      </c>
      <c r="D1919" s="8">
        <f>C1919/1905.5/12*1000</f>
        <v>0.05947695268083617</v>
      </c>
      <c r="E1919" s="1"/>
      <c r="F1919" s="1"/>
      <c r="G1919" s="1"/>
      <c r="H1919" s="1"/>
    </row>
    <row r="1920" spans="2:8" ht="12.75">
      <c r="B1920" s="14" t="s">
        <v>27</v>
      </c>
      <c r="C1920" s="14">
        <f>28.43+4.44</f>
        <v>32.87</v>
      </c>
      <c r="D1920" s="14">
        <f>C1920/1905.5/12*1000</f>
        <v>1.43750546663168</v>
      </c>
      <c r="E1920" s="1"/>
      <c r="F1920" s="1"/>
      <c r="G1920" s="1"/>
      <c r="H1920" s="1"/>
    </row>
    <row r="1921" spans="2:8" ht="12.75">
      <c r="B1921" s="14"/>
      <c r="C1921" s="14"/>
      <c r="D1921" s="8"/>
      <c r="E1921" s="1"/>
      <c r="F1921" s="1"/>
      <c r="G1921" s="1"/>
      <c r="H1921" s="1"/>
    </row>
    <row r="1922" spans="2:8" ht="12.75">
      <c r="B1922" s="14" t="s">
        <v>29</v>
      </c>
      <c r="C1922" s="23">
        <f>C1909+C1910+C1914+C1920+C1921</f>
        <v>263.15</v>
      </c>
      <c r="D1922" s="23">
        <f>D1909+D1910+D1914+D1920+D1921</f>
        <v>11.508353013207383</v>
      </c>
      <c r="E1922" s="1"/>
      <c r="F1922" s="1"/>
      <c r="G1922" s="1"/>
      <c r="H1922" s="1"/>
    </row>
    <row r="1923" spans="2:8" ht="12.75">
      <c r="B1923" s="8" t="s">
        <v>51</v>
      </c>
      <c r="C1923" s="8">
        <v>26.32</v>
      </c>
      <c r="D1923" s="8">
        <f>C1923/1905.5/12*1000</f>
        <v>1.1510539665879473</v>
      </c>
      <c r="E1923" s="1"/>
      <c r="F1923" s="1"/>
      <c r="G1923" s="1"/>
      <c r="H1923" s="1"/>
    </row>
    <row r="1924" spans="2:8" ht="12.75">
      <c r="B1924" s="14" t="s">
        <v>31</v>
      </c>
      <c r="C1924" s="23">
        <f>C1922+C1923</f>
        <v>289.46999999999997</v>
      </c>
      <c r="D1924" s="23">
        <f>D1922+D1923</f>
        <v>12.65940697979533</v>
      </c>
      <c r="E1924" s="1"/>
      <c r="F1924" s="1"/>
      <c r="G1924" s="1"/>
      <c r="H1924" s="1"/>
    </row>
    <row r="1925" spans="2:8" ht="12.75">
      <c r="B1925" s="6" t="s">
        <v>34</v>
      </c>
      <c r="C1925" s="23">
        <f>C1924/C1908/12*1000</f>
        <v>12.659406979795328</v>
      </c>
      <c r="D1925" s="8"/>
      <c r="E1925" s="1"/>
      <c r="F1925" s="1"/>
      <c r="G1925" s="1"/>
      <c r="H1925" s="1"/>
    </row>
    <row r="1926" spans="2:8" ht="12.75">
      <c r="B1926" s="1"/>
      <c r="C1926" s="1"/>
      <c r="D1926" s="1"/>
      <c r="E1926" s="1"/>
      <c r="F1926" s="1"/>
      <c r="G1926" s="1"/>
      <c r="H1926" s="1"/>
    </row>
    <row r="1927" spans="2:8" ht="12.75">
      <c r="B1927" s="1" t="s">
        <v>52</v>
      </c>
      <c r="C1927" s="1"/>
      <c r="D1927" s="1"/>
      <c r="E1927" s="1"/>
      <c r="F1927" s="1"/>
      <c r="G1927" s="1"/>
      <c r="H1927" s="1"/>
    </row>
    <row r="1928" spans="2:8" ht="12.75">
      <c r="B1928" s="1"/>
      <c r="C1928" s="1"/>
      <c r="D1928" s="1"/>
      <c r="E1928" s="1"/>
      <c r="F1928" s="1"/>
      <c r="G1928" s="1"/>
      <c r="H1928" s="1"/>
    </row>
    <row r="1929" spans="2:8" ht="12.75">
      <c r="B1929" s="2" t="s">
        <v>0</v>
      </c>
      <c r="C1929" s="2"/>
      <c r="D1929" s="2"/>
      <c r="E1929" s="1"/>
      <c r="F1929" s="1"/>
      <c r="G1929" s="1"/>
      <c r="H1929" s="1"/>
    </row>
    <row r="1930" spans="2:8" ht="12.75">
      <c r="B1930" s="2" t="s">
        <v>65</v>
      </c>
      <c r="C1930" s="2"/>
      <c r="D1930" s="2"/>
      <c r="E1930" s="1"/>
      <c r="F1930" s="1"/>
      <c r="G1930" s="1"/>
      <c r="H1930" s="1"/>
    </row>
    <row r="1931" spans="2:8" ht="12.75">
      <c r="B1931" s="2" t="s">
        <v>140</v>
      </c>
      <c r="C1931" s="2"/>
      <c r="D1931" s="2"/>
      <c r="E1931" s="1"/>
      <c r="F1931" s="1"/>
      <c r="G1931" s="1"/>
      <c r="H1931" s="1"/>
    </row>
    <row r="1932" spans="2:8" ht="12.75">
      <c r="B1932" s="3"/>
      <c r="C1932" s="3"/>
      <c r="D1932" s="1"/>
      <c r="E1932" s="1"/>
      <c r="F1932" s="1"/>
      <c r="G1932" s="1"/>
      <c r="H1932" s="1"/>
    </row>
    <row r="1933" spans="2:8" ht="12.75">
      <c r="B1933" s="5" t="s">
        <v>4</v>
      </c>
      <c r="C1933" s="31" t="s">
        <v>40</v>
      </c>
      <c r="D1933" s="6" t="s">
        <v>41</v>
      </c>
      <c r="E1933" s="1"/>
      <c r="F1933" s="1"/>
      <c r="G1933" s="1"/>
      <c r="H1933" s="1"/>
    </row>
    <row r="1934" spans="2:8" ht="12.75">
      <c r="B1934" s="6"/>
      <c r="C1934" s="6"/>
      <c r="D1934" s="7"/>
      <c r="E1934" s="1"/>
      <c r="F1934" s="1"/>
      <c r="G1934" s="1"/>
      <c r="H1934" s="1"/>
    </row>
    <row r="1935" spans="2:8" ht="12.75">
      <c r="B1935" s="10" t="s">
        <v>42</v>
      </c>
      <c r="C1935" s="8">
        <v>2040.4</v>
      </c>
      <c r="D1935" s="8"/>
      <c r="E1935" s="1"/>
      <c r="F1935" s="1"/>
      <c r="G1935" s="1"/>
      <c r="H1935" s="1"/>
    </row>
    <row r="1936" spans="2:8" ht="12.75">
      <c r="B1936" s="11" t="s">
        <v>13</v>
      </c>
      <c r="C1936" s="32">
        <v>41.85</v>
      </c>
      <c r="D1936" s="14">
        <f>C1936/2040.4/12*1000</f>
        <v>1.7092236816310529</v>
      </c>
      <c r="E1936" s="1"/>
      <c r="F1936" s="1"/>
      <c r="G1936" s="1"/>
      <c r="H1936" s="1"/>
    </row>
    <row r="1937" spans="2:8" ht="12.75">
      <c r="B1937" s="15" t="s">
        <v>14</v>
      </c>
      <c r="C1937" s="9">
        <f>SUM(C1938:C1940)</f>
        <v>118.12</v>
      </c>
      <c r="D1937" s="9">
        <f>SUM(D1938:D1940)</f>
        <v>4.824217473697968</v>
      </c>
      <c r="E1937" s="1"/>
      <c r="F1937" s="1"/>
      <c r="G1937" s="1"/>
      <c r="H1937" s="1"/>
    </row>
    <row r="1938" spans="2:8" ht="12.75">
      <c r="B1938" s="6" t="s">
        <v>43</v>
      </c>
      <c r="C1938" s="8">
        <f>15.92+21.54</f>
        <v>37.46</v>
      </c>
      <c r="D1938" s="8">
        <f>C1938/2040.4/12*1000</f>
        <v>1.5299287721361823</v>
      </c>
      <c r="E1938" s="1"/>
      <c r="F1938" s="1"/>
      <c r="G1938" s="1"/>
      <c r="H1938" s="1"/>
    </row>
    <row r="1939" spans="2:8" ht="12.75">
      <c r="B1939" s="17" t="s">
        <v>44</v>
      </c>
      <c r="C1939" s="8">
        <v>18.02</v>
      </c>
      <c r="D1939" s="8">
        <f>C1939/2040.4/12*1000</f>
        <v>0.7359668038946612</v>
      </c>
      <c r="E1939" s="1"/>
      <c r="F1939" s="1"/>
      <c r="G1939" s="1"/>
      <c r="H1939" s="1"/>
    </row>
    <row r="1940" spans="2:8" ht="12.75">
      <c r="B1940" s="6" t="s">
        <v>16</v>
      </c>
      <c r="C1940" s="8">
        <v>62.64</v>
      </c>
      <c r="D1940" s="8">
        <f>C1940/2040.4/12*1000</f>
        <v>2.558321897667124</v>
      </c>
      <c r="E1940" s="1"/>
      <c r="F1940" s="1"/>
      <c r="G1940" s="1"/>
      <c r="H1940" s="1"/>
    </row>
    <row r="1941" spans="2:8" ht="12.75">
      <c r="B1941" s="10" t="s">
        <v>19</v>
      </c>
      <c r="C1941" s="22">
        <f>SUM(C1942:C1946)</f>
        <v>86.62</v>
      </c>
      <c r="D1941" s="22">
        <f>SUM(D1942:D1946)</f>
        <v>3.537705025158466</v>
      </c>
      <c r="E1941" s="1"/>
      <c r="F1941" s="1"/>
      <c r="G1941" s="1"/>
      <c r="H1941" s="1"/>
    </row>
    <row r="1942" spans="2:8" ht="12.75">
      <c r="B1942" s="6" t="s">
        <v>45</v>
      </c>
      <c r="C1942" s="8">
        <f>60.65+12.25+6.14</f>
        <v>79.04</v>
      </c>
      <c r="D1942" s="8">
        <f>C1942/2040.4/12*1000</f>
        <v>3.2281252042083253</v>
      </c>
      <c r="E1942" s="1"/>
      <c r="F1942" s="1"/>
      <c r="G1942" s="1"/>
      <c r="H1942" s="1"/>
    </row>
    <row r="1943" spans="2:8" ht="12.75">
      <c r="B1943" s="6" t="s">
        <v>46</v>
      </c>
      <c r="C1943" s="8">
        <v>0</v>
      </c>
      <c r="D1943" s="8">
        <f>C1943/2040.4/12*1000</f>
        <v>0</v>
      </c>
      <c r="E1943" s="1"/>
      <c r="F1943" s="1"/>
      <c r="G1943" s="1"/>
      <c r="H1943" s="1"/>
    </row>
    <row r="1944" spans="2:8" ht="12.75">
      <c r="B1944" s="20" t="s">
        <v>47</v>
      </c>
      <c r="C1944" s="8">
        <v>0.12</v>
      </c>
      <c r="D1944" s="8">
        <f>C1944/2040.4/12*1000</f>
        <v>0.004900999803960008</v>
      </c>
      <c r="E1944" s="1"/>
      <c r="F1944" s="1"/>
      <c r="G1944" s="1"/>
      <c r="H1944" s="1"/>
    </row>
    <row r="1945" spans="2:8" ht="12.75">
      <c r="B1945" s="8" t="s">
        <v>48</v>
      </c>
      <c r="C1945" s="8">
        <v>6.1</v>
      </c>
      <c r="D1945" s="8">
        <f>C1945/2040.4/12*1000</f>
        <v>0.24913415670130035</v>
      </c>
      <c r="E1945" s="1"/>
      <c r="F1945" s="1"/>
      <c r="G1945" s="1"/>
      <c r="H1945" s="1"/>
    </row>
    <row r="1946" spans="2:8" ht="12.75">
      <c r="B1946" s="8" t="s">
        <v>50</v>
      </c>
      <c r="C1946" s="8">
        <v>1.36</v>
      </c>
      <c r="D1946" s="8">
        <f>C1946/2040.4/12*1000</f>
        <v>0.05554466444488009</v>
      </c>
      <c r="E1946" s="1"/>
      <c r="F1946" s="1"/>
      <c r="G1946" s="1"/>
      <c r="H1946" s="1"/>
    </row>
    <row r="1947" spans="2:8" ht="12.75">
      <c r="B1947" s="14" t="s">
        <v>27</v>
      </c>
      <c r="C1947" s="14">
        <f>30.44+4.76</f>
        <v>35.2</v>
      </c>
      <c r="D1947" s="14">
        <f>C1947/2040.4/12*1000</f>
        <v>1.4376266091616023</v>
      </c>
      <c r="E1947" s="1"/>
      <c r="F1947" s="1"/>
      <c r="G1947" s="1"/>
      <c r="H1947" s="1"/>
    </row>
    <row r="1948" spans="2:8" ht="12.75">
      <c r="B1948" s="14"/>
      <c r="C1948" s="14"/>
      <c r="D1948" s="8"/>
      <c r="E1948" s="1"/>
      <c r="F1948" s="1"/>
      <c r="G1948" s="1"/>
      <c r="H1948" s="1"/>
    </row>
    <row r="1949" spans="2:8" ht="12.75">
      <c r="B1949" s="14" t="s">
        <v>29</v>
      </c>
      <c r="C1949" s="23">
        <f>C1936+C1937+C1941+C1947+C1948</f>
        <v>281.79</v>
      </c>
      <c r="D1949" s="23">
        <f>D1936+D1937+D1941+D1947+D1948</f>
        <v>11.50877278964909</v>
      </c>
      <c r="E1949" s="1"/>
      <c r="F1949" s="1"/>
      <c r="G1949" s="1"/>
      <c r="H1949" s="1"/>
    </row>
    <row r="1950" spans="2:8" ht="12.75">
      <c r="B1950" s="8" t="s">
        <v>51</v>
      </c>
      <c r="C1950" s="8">
        <v>28.18</v>
      </c>
      <c r="D1950" s="8">
        <f>C1950/2040.4/12*1000</f>
        <v>1.150918120629942</v>
      </c>
      <c r="E1950" s="1"/>
      <c r="F1950" s="1"/>
      <c r="G1950" s="1"/>
      <c r="H1950" s="1"/>
    </row>
    <row r="1951" spans="2:8" ht="12.75">
      <c r="B1951" s="14" t="s">
        <v>31</v>
      </c>
      <c r="C1951" s="23">
        <f>C1949+C1950</f>
        <v>309.97</v>
      </c>
      <c r="D1951" s="23">
        <f>D1949+D1950</f>
        <v>12.659690910279032</v>
      </c>
      <c r="E1951" s="1"/>
      <c r="F1951" s="1"/>
      <c r="G1951" s="1"/>
      <c r="H1951" s="1"/>
    </row>
    <row r="1952" spans="2:8" ht="12.75">
      <c r="B1952" s="6" t="s">
        <v>34</v>
      </c>
      <c r="C1952" s="23">
        <f>C1951/C1935/12*1000</f>
        <v>12.659690910279032</v>
      </c>
      <c r="D1952" s="8"/>
      <c r="E1952" s="1"/>
      <c r="F1952" s="1"/>
      <c r="G1952" s="1"/>
      <c r="H1952" s="1"/>
    </row>
    <row r="1953" spans="2:8" ht="12.75">
      <c r="B1953" s="1"/>
      <c r="C1953" s="1"/>
      <c r="D1953" s="1"/>
      <c r="E1953" s="1"/>
      <c r="F1953" s="1"/>
      <c r="G1953" s="1"/>
      <c r="H1953" s="1"/>
    </row>
    <row r="1954" spans="2:8" ht="12.75">
      <c r="B1954" s="1" t="s">
        <v>52</v>
      </c>
      <c r="C1954" s="1"/>
      <c r="D1954" s="1"/>
      <c r="E1954" s="1"/>
      <c r="F1954" s="1"/>
      <c r="G1954" s="1"/>
      <c r="H1954" s="1"/>
    </row>
    <row r="1955" spans="2:8" ht="12.75">
      <c r="B1955" s="1"/>
      <c r="C1955" s="1"/>
      <c r="D1955" s="1"/>
      <c r="E1955" s="1"/>
      <c r="F1955" s="1"/>
      <c r="G1955" s="1"/>
      <c r="H1955" s="1"/>
    </row>
    <row r="1956" spans="2:8" ht="12.75">
      <c r="B1956" s="2" t="s">
        <v>0</v>
      </c>
      <c r="C1956" s="2"/>
      <c r="D1956" s="2"/>
      <c r="E1956" s="1"/>
      <c r="F1956" s="1"/>
      <c r="G1956" s="1"/>
      <c r="H1956" s="1"/>
    </row>
    <row r="1957" spans="2:8" ht="12.75">
      <c r="B1957" s="2" t="s">
        <v>65</v>
      </c>
      <c r="C1957" s="2"/>
      <c r="D1957" s="2"/>
      <c r="E1957" s="1"/>
      <c r="F1957" s="1"/>
      <c r="G1957" s="1"/>
      <c r="H1957" s="1"/>
    </row>
    <row r="1958" spans="2:8" ht="12.75">
      <c r="B1958" s="2" t="s">
        <v>141</v>
      </c>
      <c r="C1958" s="2"/>
      <c r="D1958" s="2"/>
      <c r="E1958" s="1"/>
      <c r="F1958" s="1"/>
      <c r="G1958" s="1"/>
      <c r="H1958" s="1"/>
    </row>
    <row r="1959" spans="2:8" ht="12.75">
      <c r="B1959" s="3"/>
      <c r="C1959" s="3"/>
      <c r="D1959" s="1"/>
      <c r="E1959" s="1"/>
      <c r="F1959" s="1"/>
      <c r="G1959" s="1"/>
      <c r="H1959" s="1"/>
    </row>
    <row r="1960" spans="2:8" ht="12.75">
      <c r="B1960" s="5" t="s">
        <v>4</v>
      </c>
      <c r="C1960" s="31" t="s">
        <v>40</v>
      </c>
      <c r="D1960" s="6" t="s">
        <v>41</v>
      </c>
      <c r="E1960" s="1"/>
      <c r="F1960" s="1"/>
      <c r="G1960" s="1"/>
      <c r="H1960" s="1"/>
    </row>
    <row r="1961" spans="2:8" ht="12.75">
      <c r="B1961" s="6"/>
      <c r="C1961" s="6"/>
      <c r="D1961" s="7"/>
      <c r="E1961" s="1"/>
      <c r="F1961" s="1"/>
      <c r="G1961" s="1"/>
      <c r="H1961" s="1"/>
    </row>
    <row r="1962" spans="2:8" ht="12.75">
      <c r="B1962" s="10" t="s">
        <v>42</v>
      </c>
      <c r="C1962" s="8">
        <v>1758.9</v>
      </c>
      <c r="D1962" s="8"/>
      <c r="E1962" s="1"/>
      <c r="F1962" s="1"/>
      <c r="G1962" s="1"/>
      <c r="H1962" s="1"/>
    </row>
    <row r="1963" spans="2:8" ht="12.75">
      <c r="B1963" s="11" t="s">
        <v>13</v>
      </c>
      <c r="C1963" s="30">
        <v>36.07</v>
      </c>
      <c r="D1963" s="8">
        <f>C1963/1758.9/12*1000</f>
        <v>1.7089279284401235</v>
      </c>
      <c r="E1963" s="1"/>
      <c r="F1963" s="1"/>
      <c r="G1963" s="1"/>
      <c r="H1963" s="1"/>
    </row>
    <row r="1964" spans="2:8" ht="12.75">
      <c r="B1964" s="15" t="s">
        <v>14</v>
      </c>
      <c r="C1964" s="9">
        <f>SUM(C1965:C1967)</f>
        <v>88</v>
      </c>
      <c r="D1964" s="9">
        <f>SUM(D1965:D1967)</f>
        <v>4.169272461955389</v>
      </c>
      <c r="E1964" s="1"/>
      <c r="F1964" s="1"/>
      <c r="G1964" s="1"/>
      <c r="H1964" s="1"/>
    </row>
    <row r="1965" spans="2:8" ht="12.75">
      <c r="B1965" s="6" t="s">
        <v>43</v>
      </c>
      <c r="C1965" s="8">
        <f>13.72+18.57</f>
        <v>32.29</v>
      </c>
      <c r="D1965" s="8">
        <f>C1965/1758.9/12*1000</f>
        <v>1.529838724960676</v>
      </c>
      <c r="E1965" s="1"/>
      <c r="F1965" s="1"/>
      <c r="G1965" s="1"/>
      <c r="H1965" s="1"/>
    </row>
    <row r="1966" spans="2:8" ht="12.75">
      <c r="B1966" s="17" t="s">
        <v>44</v>
      </c>
      <c r="C1966" s="8">
        <v>15.54</v>
      </c>
      <c r="D1966" s="8">
        <f>C1966/1758.9/12*1000</f>
        <v>0.7362556143043947</v>
      </c>
      <c r="E1966" s="1"/>
      <c r="F1966" s="1"/>
      <c r="G1966" s="1"/>
      <c r="H1966" s="1"/>
    </row>
    <row r="1967" spans="2:8" ht="12.75">
      <c r="B1967" s="6" t="s">
        <v>16</v>
      </c>
      <c r="C1967" s="8">
        <v>40.17</v>
      </c>
      <c r="D1967" s="8">
        <f>C1967/1758.9/12*1000</f>
        <v>1.903178122690318</v>
      </c>
      <c r="E1967" s="1"/>
      <c r="F1967" s="1"/>
      <c r="G1967" s="1"/>
      <c r="H1967" s="1"/>
    </row>
    <row r="1968" spans="2:8" ht="12.75">
      <c r="B1968" s="10" t="s">
        <v>19</v>
      </c>
      <c r="C1968" s="22">
        <f>SUM(C1969:C1973)</f>
        <v>88.5</v>
      </c>
      <c r="D1968" s="22">
        <f>SUM(D1969:D1973)</f>
        <v>4.192961510034681</v>
      </c>
      <c r="E1968" s="1"/>
      <c r="F1968" s="1"/>
      <c r="G1968" s="1"/>
      <c r="H1968" s="1"/>
    </row>
    <row r="1969" spans="2:8" ht="12.75">
      <c r="B1969" s="6" t="s">
        <v>45</v>
      </c>
      <c r="C1969" s="8">
        <f>62.03+12.53+6.28</f>
        <v>80.84</v>
      </c>
      <c r="D1969" s="8">
        <f>C1969/1758.9/12*1000</f>
        <v>3.8300452934599276</v>
      </c>
      <c r="E1969" s="1"/>
      <c r="F1969" s="1"/>
      <c r="G1969" s="1"/>
      <c r="H1969" s="1"/>
    </row>
    <row r="1970" spans="2:8" ht="12.75">
      <c r="B1970" s="6" t="s">
        <v>46</v>
      </c>
      <c r="C1970" s="8">
        <v>0</v>
      </c>
      <c r="D1970" s="8">
        <f>C1970/1758.9/12*1000</f>
        <v>0</v>
      </c>
      <c r="E1970" s="1"/>
      <c r="F1970" s="1"/>
      <c r="G1970" s="1"/>
      <c r="H1970" s="1"/>
    </row>
    <row r="1971" spans="2:8" ht="12.75">
      <c r="B1971" s="20" t="s">
        <v>47</v>
      </c>
      <c r="C1971" s="8">
        <v>1.07</v>
      </c>
      <c r="D1971" s="8">
        <f>C1971/1758.9/12*1000</f>
        <v>0.05069456288968484</v>
      </c>
      <c r="E1971" s="1"/>
      <c r="F1971" s="1"/>
      <c r="G1971" s="1"/>
      <c r="H1971" s="1"/>
    </row>
    <row r="1972" spans="2:8" ht="12.75">
      <c r="B1972" s="8" t="s">
        <v>48</v>
      </c>
      <c r="C1972" s="8">
        <v>5.31</v>
      </c>
      <c r="D1972" s="8">
        <f>C1972/1758.9/12*1000</f>
        <v>0.2515776906020808</v>
      </c>
      <c r="E1972" s="1"/>
      <c r="F1972" s="1"/>
      <c r="G1972" s="1"/>
      <c r="H1972" s="1"/>
    </row>
    <row r="1973" spans="2:8" ht="12.75">
      <c r="B1973" s="8" t="s">
        <v>50</v>
      </c>
      <c r="C1973" s="8">
        <v>1.28</v>
      </c>
      <c r="D1973" s="8">
        <f>C1973/1758.9/12*1000</f>
        <v>0.06064396308298747</v>
      </c>
      <c r="E1973" s="1"/>
      <c r="F1973" s="1"/>
      <c r="G1973" s="1"/>
      <c r="H1973" s="1"/>
    </row>
    <row r="1974" spans="2:8" ht="12.75">
      <c r="B1974" s="14" t="s">
        <v>27</v>
      </c>
      <c r="C1974" s="14">
        <f>26.24+4.1</f>
        <v>30.339999999999996</v>
      </c>
      <c r="D1974" s="14">
        <f>C1974/1758.9/12*1000</f>
        <v>1.4374514374514373</v>
      </c>
      <c r="E1974" s="1"/>
      <c r="F1974" s="1"/>
      <c r="G1974" s="1"/>
      <c r="H1974" s="1"/>
    </row>
    <row r="1975" spans="2:8" ht="12.75">
      <c r="B1975" s="14"/>
      <c r="C1975" s="14"/>
      <c r="D1975" s="8"/>
      <c r="E1975" s="1"/>
      <c r="F1975" s="1"/>
      <c r="G1975" s="1"/>
      <c r="H1975" s="1"/>
    </row>
    <row r="1976" spans="2:8" ht="12.75">
      <c r="B1976" s="14" t="s">
        <v>29</v>
      </c>
      <c r="C1976" s="23">
        <f>C1963+C1964+C1968+C1974+C1975</f>
        <v>242.91</v>
      </c>
      <c r="D1976" s="23">
        <f>D1963+D1964+D1968+D1974+D1975</f>
        <v>11.508613337881632</v>
      </c>
      <c r="E1976" s="1"/>
      <c r="F1976" s="1"/>
      <c r="G1976" s="1"/>
      <c r="H1976" s="1"/>
    </row>
    <row r="1977" spans="2:8" ht="12.75">
      <c r="B1977" s="8" t="s">
        <v>51</v>
      </c>
      <c r="C1977" s="8">
        <v>24.29</v>
      </c>
      <c r="D1977" s="8">
        <f>C1977/1758.9/12*1000</f>
        <v>1.1508139556920043</v>
      </c>
      <c r="E1977" s="1"/>
      <c r="F1977" s="1"/>
      <c r="G1977" s="1"/>
      <c r="H1977" s="1"/>
    </row>
    <row r="1978" spans="2:8" ht="12.75">
      <c r="B1978" s="14" t="s">
        <v>31</v>
      </c>
      <c r="C1978" s="23">
        <f>C1976+C1977</f>
        <v>267.2</v>
      </c>
      <c r="D1978" s="23">
        <f>D1976+D1977</f>
        <v>12.659427293573637</v>
      </c>
      <c r="E1978" s="1"/>
      <c r="F1978" s="1"/>
      <c r="G1978" s="1"/>
      <c r="H1978" s="1"/>
    </row>
    <row r="1979" spans="2:8" ht="12.75">
      <c r="B1979" s="6" t="s">
        <v>34</v>
      </c>
      <c r="C1979" s="23">
        <f>C1978/C1962/12*1000</f>
        <v>12.659427293573634</v>
      </c>
      <c r="D1979" s="8"/>
      <c r="E1979" s="1"/>
      <c r="F1979" s="1"/>
      <c r="G1979" s="1"/>
      <c r="H1979" s="1"/>
    </row>
    <row r="1980" spans="2:8" ht="12.75">
      <c r="B1980" s="1"/>
      <c r="C1980" s="1"/>
      <c r="D1980" s="1"/>
      <c r="E1980" s="1"/>
      <c r="F1980" s="1"/>
      <c r="G1980" s="1"/>
      <c r="H1980" s="1"/>
    </row>
    <row r="1981" spans="2:8" ht="12.75">
      <c r="B1981" s="1" t="s">
        <v>52</v>
      </c>
      <c r="C1981" s="1"/>
      <c r="D1981" s="1"/>
      <c r="E1981" s="1"/>
      <c r="F1981" s="1"/>
      <c r="G1981" s="1"/>
      <c r="H1981" s="1"/>
    </row>
    <row r="1982" spans="2:8" ht="12.75">
      <c r="B1982" s="1"/>
      <c r="C1982" s="1"/>
      <c r="D1982" s="1"/>
      <c r="E1982" s="1"/>
      <c r="F1982" s="1"/>
      <c r="G1982" s="1"/>
      <c r="H1982" s="1"/>
    </row>
    <row r="1983" spans="2:8" ht="12.75">
      <c r="B1983" s="2" t="s">
        <v>0</v>
      </c>
      <c r="C1983" s="2"/>
      <c r="D1983" s="2"/>
      <c r="E1983" s="1"/>
      <c r="F1983" s="1"/>
      <c r="G1983" s="1"/>
      <c r="H1983" s="1"/>
    </row>
    <row r="1984" spans="2:8" ht="12.75">
      <c r="B1984" s="2" t="s">
        <v>65</v>
      </c>
      <c r="C1984" s="2"/>
      <c r="D1984" s="2"/>
      <c r="E1984" s="1"/>
      <c r="F1984" s="1"/>
      <c r="G1984" s="1"/>
      <c r="H1984" s="1"/>
    </row>
    <row r="1985" spans="2:8" ht="12.75">
      <c r="B1985" s="2" t="s">
        <v>142</v>
      </c>
      <c r="C1985" s="2"/>
      <c r="D1985" s="2"/>
      <c r="E1985" s="1"/>
      <c r="F1985" s="1"/>
      <c r="G1985" s="1"/>
      <c r="H1985" s="1"/>
    </row>
    <row r="1986" spans="2:8" ht="12.75">
      <c r="B1986" s="3"/>
      <c r="C1986" s="3"/>
      <c r="D1986" s="1"/>
      <c r="E1986" s="1"/>
      <c r="F1986" s="1"/>
      <c r="G1986" s="1"/>
      <c r="H1986" s="1"/>
    </row>
    <row r="1987" spans="2:8" ht="12.75">
      <c r="B1987" s="5" t="s">
        <v>4</v>
      </c>
      <c r="C1987" s="31" t="s">
        <v>40</v>
      </c>
      <c r="D1987" s="6" t="s">
        <v>41</v>
      </c>
      <c r="E1987" s="1"/>
      <c r="F1987" s="1"/>
      <c r="G1987" s="1"/>
      <c r="H1987" s="1"/>
    </row>
    <row r="1988" spans="2:8" ht="12.75">
      <c r="B1988" s="6"/>
      <c r="C1988" s="6"/>
      <c r="D1988" s="7"/>
      <c r="E1988" s="1"/>
      <c r="F1988" s="1"/>
      <c r="G1988" s="1"/>
      <c r="H1988" s="1"/>
    </row>
    <row r="1989" spans="2:8" ht="12.75">
      <c r="B1989" s="10" t="s">
        <v>42</v>
      </c>
      <c r="C1989" s="8">
        <v>1177.6</v>
      </c>
      <c r="D1989" s="8"/>
      <c r="E1989" s="1"/>
      <c r="F1989" s="1"/>
      <c r="G1989" s="1"/>
      <c r="H1989" s="1"/>
    </row>
    <row r="1990" spans="2:8" ht="12.75">
      <c r="B1990" s="11" t="s">
        <v>13</v>
      </c>
      <c r="C1990" s="32">
        <v>24.15</v>
      </c>
      <c r="D1990" s="14">
        <f>C1990/1177.6/12*1000</f>
        <v>1.708984375</v>
      </c>
      <c r="E1990" s="1"/>
      <c r="F1990" s="1"/>
      <c r="G1990" s="1"/>
      <c r="H1990" s="1"/>
    </row>
    <row r="1991" spans="2:8" ht="12.75">
      <c r="B1991" s="15" t="s">
        <v>14</v>
      </c>
      <c r="C1991" s="9">
        <f>SUM(C1992:C1994)</f>
        <v>113.5</v>
      </c>
      <c r="D1991" s="9">
        <f>SUM(D1992:D1994)</f>
        <v>8.031872735507246</v>
      </c>
      <c r="E1991" s="1"/>
      <c r="F1991" s="1"/>
      <c r="G1991" s="1"/>
      <c r="H1991" s="1"/>
    </row>
    <row r="1992" spans="2:8" ht="12.75">
      <c r="B1992" s="6" t="s">
        <v>43</v>
      </c>
      <c r="C1992" s="8">
        <f>9.19+12.43</f>
        <v>21.619999999999997</v>
      </c>
      <c r="D1992" s="8">
        <f>C1992/1177.6/12*1000</f>
        <v>1.5299479166666667</v>
      </c>
      <c r="E1992" s="1"/>
      <c r="F1992" s="1"/>
      <c r="G1992" s="1"/>
      <c r="H1992" s="1"/>
    </row>
    <row r="1993" spans="2:8" ht="12.75">
      <c r="B1993" s="17" t="s">
        <v>44</v>
      </c>
      <c r="C1993" s="8">
        <v>10.4</v>
      </c>
      <c r="D1993" s="8">
        <f>C1993/1177.6/12*1000</f>
        <v>0.7359601449275364</v>
      </c>
      <c r="E1993" s="1"/>
      <c r="F1993" s="1"/>
      <c r="G1993" s="1"/>
      <c r="H1993" s="1"/>
    </row>
    <row r="1994" spans="2:8" ht="12.75">
      <c r="B1994" s="6" t="s">
        <v>16</v>
      </c>
      <c r="C1994" s="8">
        <f>79.63+1.85</f>
        <v>81.47999999999999</v>
      </c>
      <c r="D1994" s="8">
        <f>C1994/1177.6/12*1000</f>
        <v>5.765964673913043</v>
      </c>
      <c r="E1994" s="1"/>
      <c r="F1994" s="1"/>
      <c r="G1994" s="1"/>
      <c r="H1994" s="1"/>
    </row>
    <row r="1995" spans="2:8" ht="12.75">
      <c r="B1995" s="10" t="s">
        <v>19</v>
      </c>
      <c r="C1995" s="22">
        <f>SUM(C1996:C2000)</f>
        <v>4.68</v>
      </c>
      <c r="D1995" s="22">
        <f>SUM(D1996:D2000)</f>
        <v>0.3311820652173913</v>
      </c>
      <c r="E1995" s="1"/>
      <c r="F1995" s="1"/>
      <c r="G1995" s="1"/>
      <c r="H1995" s="1"/>
    </row>
    <row r="1996" spans="2:8" ht="12.75">
      <c r="B1996" s="6" t="s">
        <v>45</v>
      </c>
      <c r="C1996" s="8"/>
      <c r="D1996" s="8">
        <f>C1996/1177.6/12*1000</f>
        <v>0</v>
      </c>
      <c r="E1996" s="1"/>
      <c r="F1996" s="1"/>
      <c r="G1996" s="1"/>
      <c r="H1996" s="1"/>
    </row>
    <row r="1997" spans="2:8" ht="12.75">
      <c r="B1997" s="6" t="s">
        <v>46</v>
      </c>
      <c r="C1997" s="8">
        <v>0</v>
      </c>
      <c r="D1997" s="8">
        <f>C1997/1177.6/12*1000</f>
        <v>0</v>
      </c>
      <c r="E1997" s="1"/>
      <c r="F1997" s="1"/>
      <c r="G1997" s="1"/>
      <c r="H1997" s="1"/>
    </row>
    <row r="1998" spans="2:8" ht="12.75">
      <c r="B1998" s="20" t="s">
        <v>47</v>
      </c>
      <c r="C1998" s="8">
        <v>1.49</v>
      </c>
      <c r="D1998" s="8">
        <f>C1998/1177.6/12*1000</f>
        <v>0.10544044384057973</v>
      </c>
      <c r="E1998" s="1"/>
      <c r="F1998" s="1"/>
      <c r="G1998" s="1"/>
      <c r="H1998" s="1"/>
    </row>
    <row r="1999" spans="2:8" ht="12.75">
      <c r="B1999" s="8" t="s">
        <v>48</v>
      </c>
      <c r="C1999" s="8">
        <v>3.19</v>
      </c>
      <c r="D1999" s="8">
        <f>C1999/1177.6/12*1000</f>
        <v>0.22574162137681159</v>
      </c>
      <c r="E1999" s="1"/>
      <c r="F1999" s="1"/>
      <c r="G1999" s="1"/>
      <c r="H1999" s="1"/>
    </row>
    <row r="2000" spans="2:8" ht="12.75">
      <c r="B2000" s="8" t="s">
        <v>50</v>
      </c>
      <c r="C2000" s="8">
        <v>0</v>
      </c>
      <c r="D2000" s="8">
        <f>C2000/1177.6/12*1000</f>
        <v>0</v>
      </c>
      <c r="E2000" s="1"/>
      <c r="F2000" s="1"/>
      <c r="G2000" s="1"/>
      <c r="H2000" s="1"/>
    </row>
    <row r="2001" spans="2:8" ht="12.75">
      <c r="B2001" s="14" t="s">
        <v>27</v>
      </c>
      <c r="C2001" s="14">
        <f>17.57+2.75</f>
        <v>20.32</v>
      </c>
      <c r="D2001" s="14">
        <f>C2001/1177.6/12*1000</f>
        <v>1.4379528985507246</v>
      </c>
      <c r="E2001" s="1"/>
      <c r="F2001" s="1"/>
      <c r="G2001" s="1"/>
      <c r="H2001" s="1"/>
    </row>
    <row r="2002" spans="2:8" ht="12.75">
      <c r="B2002" s="14"/>
      <c r="C2002" s="14"/>
      <c r="D2002" s="8"/>
      <c r="E2002" s="1"/>
      <c r="F2002" s="1"/>
      <c r="G2002" s="1"/>
      <c r="H2002" s="1"/>
    </row>
    <row r="2003" spans="2:8" ht="12.75">
      <c r="B2003" s="14" t="s">
        <v>29</v>
      </c>
      <c r="C2003" s="23">
        <f>C1990+C1991+C1995+C2001+C2002</f>
        <v>162.65</v>
      </c>
      <c r="D2003" s="23">
        <f>D1990+D1991+D1995+D2001+D2002</f>
        <v>11.509992074275361</v>
      </c>
      <c r="E2003" s="1"/>
      <c r="F2003" s="1"/>
      <c r="G2003" s="1"/>
      <c r="H2003" s="1"/>
    </row>
    <row r="2004" spans="2:8" ht="12.75">
      <c r="B2004" s="8" t="s">
        <v>51</v>
      </c>
      <c r="C2004" s="8">
        <v>16.26</v>
      </c>
      <c r="D2004" s="8">
        <f>C2004/1177.6/12*1000</f>
        <v>1.150645380434783</v>
      </c>
      <c r="E2004" s="1"/>
      <c r="F2004" s="1"/>
      <c r="G2004" s="1"/>
      <c r="H2004" s="1"/>
    </row>
    <row r="2005" spans="2:8" ht="12.75">
      <c r="B2005" s="14" t="s">
        <v>31</v>
      </c>
      <c r="C2005" s="23">
        <f>C2003+C2004</f>
        <v>178.91</v>
      </c>
      <c r="D2005" s="23">
        <f>D2003+D2004</f>
        <v>12.660637454710145</v>
      </c>
      <c r="E2005" s="1"/>
      <c r="F2005" s="1"/>
      <c r="G2005" s="1"/>
      <c r="H2005" s="1"/>
    </row>
    <row r="2006" spans="2:8" ht="12.75">
      <c r="B2006" s="6" t="s">
        <v>34</v>
      </c>
      <c r="C2006" s="23">
        <f>C2005/C1989/12*1000</f>
        <v>12.660637454710145</v>
      </c>
      <c r="D2006" s="8"/>
      <c r="E2006" s="1"/>
      <c r="F2006" s="1"/>
      <c r="G2006" s="1"/>
      <c r="H2006" s="1"/>
    </row>
    <row r="2007" spans="2:8" ht="12.75">
      <c r="B2007" s="1"/>
      <c r="C2007" s="1"/>
      <c r="D2007" s="1"/>
      <c r="E2007" s="1"/>
      <c r="F2007" s="1"/>
      <c r="G2007" s="1"/>
      <c r="H2007" s="1"/>
    </row>
    <row r="2008" spans="2:8" ht="12.75">
      <c r="B2008" s="1" t="s">
        <v>52</v>
      </c>
      <c r="C2008" s="1"/>
      <c r="D2008" s="1"/>
      <c r="E2008" s="1"/>
      <c r="F2008" s="1"/>
      <c r="G2008" s="1"/>
      <c r="H2008" s="1"/>
    </row>
    <row r="2009" spans="2:8" ht="12.75">
      <c r="B2009" s="1"/>
      <c r="C2009" s="1"/>
      <c r="D2009" s="1"/>
      <c r="E2009" s="1"/>
      <c r="F2009" s="1"/>
      <c r="G2009" s="1"/>
      <c r="H2009" s="1"/>
    </row>
    <row r="2010" spans="2:8" ht="12.75">
      <c r="B2010" s="2" t="s">
        <v>0</v>
      </c>
      <c r="C2010" s="2"/>
      <c r="D2010" s="2"/>
      <c r="E2010" s="1"/>
      <c r="F2010" s="1"/>
      <c r="G2010" s="1"/>
      <c r="H2010" s="1"/>
    </row>
    <row r="2011" spans="2:8" ht="12.75">
      <c r="B2011" s="2" t="s">
        <v>65</v>
      </c>
      <c r="C2011" s="2"/>
      <c r="D2011" s="2"/>
      <c r="E2011" s="1"/>
      <c r="F2011" s="1"/>
      <c r="G2011" s="1"/>
      <c r="H2011" s="1"/>
    </row>
    <row r="2012" spans="2:8" ht="12.75">
      <c r="B2012" s="2" t="s">
        <v>143</v>
      </c>
      <c r="C2012" s="2"/>
      <c r="D2012" s="2"/>
      <c r="E2012" s="1"/>
      <c r="F2012" s="1"/>
      <c r="G2012" s="1"/>
      <c r="H2012" s="1"/>
    </row>
    <row r="2013" spans="2:8" ht="12.75">
      <c r="B2013" s="3"/>
      <c r="C2013" s="3"/>
      <c r="D2013" s="1"/>
      <c r="E2013" s="1"/>
      <c r="F2013" s="1"/>
      <c r="G2013" s="1"/>
      <c r="H2013" s="1"/>
    </row>
    <row r="2014" spans="2:8" ht="12.75">
      <c r="B2014" s="5" t="s">
        <v>4</v>
      </c>
      <c r="C2014" s="31" t="s">
        <v>40</v>
      </c>
      <c r="D2014" s="6" t="s">
        <v>41</v>
      </c>
      <c r="E2014" s="1"/>
      <c r="F2014" s="1"/>
      <c r="G2014" s="1"/>
      <c r="H2014" s="1"/>
    </row>
    <row r="2015" spans="2:8" ht="12.75">
      <c r="B2015" s="6"/>
      <c r="C2015" s="6"/>
      <c r="D2015" s="7"/>
      <c r="E2015" s="1"/>
      <c r="F2015" s="1"/>
      <c r="G2015" s="1"/>
      <c r="H2015" s="1"/>
    </row>
    <row r="2016" spans="2:8" ht="12.75">
      <c r="B2016" s="10" t="s">
        <v>42</v>
      </c>
      <c r="C2016" s="8">
        <v>1509.1</v>
      </c>
      <c r="D2016" s="8"/>
      <c r="E2016" s="1"/>
      <c r="F2016" s="1"/>
      <c r="G2016" s="1"/>
      <c r="H2016" s="1"/>
    </row>
    <row r="2017" spans="2:8" ht="12.75">
      <c r="B2017" s="11" t="s">
        <v>13</v>
      </c>
      <c r="C2017" s="32">
        <v>30.95</v>
      </c>
      <c r="D2017" s="14">
        <f>C2017/1509.1/12*1000</f>
        <v>1.7090760497426722</v>
      </c>
      <c r="E2017" s="1"/>
      <c r="F2017" s="1"/>
      <c r="G2017" s="1"/>
      <c r="H2017" s="1"/>
    </row>
    <row r="2018" spans="2:8" ht="12.75">
      <c r="B2018" s="15" t="s">
        <v>14</v>
      </c>
      <c r="C2018" s="9">
        <f>SUM(C2019:C2021)</f>
        <v>90.03</v>
      </c>
      <c r="D2018" s="9">
        <f>SUM(D2019:D2021)</f>
        <v>4.9715061957458095</v>
      </c>
      <c r="E2018" s="1"/>
      <c r="F2018" s="1"/>
      <c r="G2018" s="1"/>
      <c r="H2018" s="1"/>
    </row>
    <row r="2019" spans="2:8" ht="12.75">
      <c r="B2019" s="6" t="s">
        <v>43</v>
      </c>
      <c r="C2019" s="8">
        <f>11.77+15.93</f>
        <v>27.7</v>
      </c>
      <c r="D2019" s="8">
        <f>C2019/1509.1/12*1000</f>
        <v>1.5296092593819717</v>
      </c>
      <c r="E2019" s="1"/>
      <c r="F2019" s="1"/>
      <c r="G2019" s="1"/>
      <c r="H2019" s="1"/>
    </row>
    <row r="2020" spans="2:8" ht="12.75">
      <c r="B2020" s="17" t="s">
        <v>44</v>
      </c>
      <c r="C2020" s="8">
        <v>13.33</v>
      </c>
      <c r="D2020" s="8">
        <f>C2020/1509.1/12*1000</f>
        <v>0.7360899432332737</v>
      </c>
      <c r="E2020" s="1"/>
      <c r="F2020" s="1"/>
      <c r="G2020" s="1"/>
      <c r="H2020" s="1"/>
    </row>
    <row r="2021" spans="2:8" ht="12.75">
      <c r="B2021" s="6" t="s">
        <v>16</v>
      </c>
      <c r="C2021" s="8">
        <v>49</v>
      </c>
      <c r="D2021" s="8">
        <f>C2021/1509.1/12*1000</f>
        <v>2.705806993130564</v>
      </c>
      <c r="E2021" s="1"/>
      <c r="F2021" s="1"/>
      <c r="G2021" s="1"/>
      <c r="H2021" s="1"/>
    </row>
    <row r="2022" spans="2:8" ht="12.75">
      <c r="B2022" s="10" t="s">
        <v>19</v>
      </c>
      <c r="C2022" s="22">
        <f>SUM(C2023:C2027)</f>
        <v>61.400000000000006</v>
      </c>
      <c r="D2022" s="22">
        <f>SUM(D2023:D2027)</f>
        <v>3.3905418240452376</v>
      </c>
      <c r="E2022" s="1"/>
      <c r="F2022" s="1"/>
      <c r="G2022" s="1"/>
      <c r="H2022" s="1"/>
    </row>
    <row r="2023" spans="2:8" ht="12.75">
      <c r="B2023" s="6" t="s">
        <v>45</v>
      </c>
      <c r="C2023" s="8">
        <f>43.24+8.74+4.38</f>
        <v>56.36000000000001</v>
      </c>
      <c r="D2023" s="8">
        <f>C2023/1509.1/12*1000</f>
        <v>3.112230247608951</v>
      </c>
      <c r="E2023" s="1"/>
      <c r="F2023" s="1"/>
      <c r="G2023" s="1"/>
      <c r="H2023" s="1"/>
    </row>
    <row r="2024" spans="2:8" ht="12.75">
      <c r="B2024" s="6" t="s">
        <v>46</v>
      </c>
      <c r="C2024" s="8">
        <v>0</v>
      </c>
      <c r="D2024" s="8">
        <f>C2024/1509.1/12*1000</f>
        <v>0</v>
      </c>
      <c r="E2024" s="1"/>
      <c r="F2024" s="1"/>
      <c r="G2024" s="1"/>
      <c r="H2024" s="1"/>
    </row>
    <row r="2025" spans="2:8" ht="12.75">
      <c r="B2025" s="20" t="s">
        <v>47</v>
      </c>
      <c r="C2025" s="8">
        <v>0.37</v>
      </c>
      <c r="D2025" s="8">
        <f>C2025/1509.1/12*1000</f>
        <v>0.02043160382567977</v>
      </c>
      <c r="E2025" s="1"/>
      <c r="F2025" s="1"/>
      <c r="G2025" s="1"/>
      <c r="H2025" s="1"/>
    </row>
    <row r="2026" spans="2:8" ht="12.75">
      <c r="B2026" s="8" t="s">
        <v>48</v>
      </c>
      <c r="C2026" s="8">
        <v>3.58</v>
      </c>
      <c r="D2026" s="8">
        <f>C2026/1509.1/12*1000</f>
        <v>0.1976895721511718</v>
      </c>
      <c r="E2026" s="1"/>
      <c r="F2026" s="1"/>
      <c r="G2026" s="1"/>
      <c r="H2026" s="1"/>
    </row>
    <row r="2027" spans="2:8" ht="12.75">
      <c r="B2027" s="8" t="s">
        <v>50</v>
      </c>
      <c r="C2027" s="8">
        <v>1.09</v>
      </c>
      <c r="D2027" s="8">
        <f>C2027/1509.1/12*1000</f>
        <v>0.060190400459434995</v>
      </c>
      <c r="E2027" s="1"/>
      <c r="F2027" s="1"/>
      <c r="G2027" s="1"/>
      <c r="H2027" s="1"/>
    </row>
    <row r="2028" spans="2:8" ht="12.75">
      <c r="B2028" s="14" t="s">
        <v>27</v>
      </c>
      <c r="C2028" s="14">
        <f>22.51+3.52</f>
        <v>26.03</v>
      </c>
      <c r="D2028" s="14">
        <f>C2028/1509.1/12*1000</f>
        <v>1.4373909394120117</v>
      </c>
      <c r="E2028" s="1"/>
      <c r="F2028" s="1"/>
      <c r="G2028" s="1"/>
      <c r="H2028" s="1"/>
    </row>
    <row r="2029" spans="2:8" ht="12.75">
      <c r="B2029" s="14"/>
      <c r="C2029" s="14"/>
      <c r="D2029" s="8"/>
      <c r="E2029" s="1"/>
      <c r="F2029" s="1"/>
      <c r="G2029" s="1"/>
      <c r="H2029" s="1"/>
    </row>
    <row r="2030" spans="2:8" ht="12.75">
      <c r="B2030" s="14" t="s">
        <v>29</v>
      </c>
      <c r="C2030" s="23">
        <f>C2017+C2018+C2022+C2028+C2029</f>
        <v>208.41</v>
      </c>
      <c r="D2030" s="23">
        <f>D2017+D2018+D2022+D2028+D2029</f>
        <v>11.508515008945732</v>
      </c>
      <c r="E2030" s="1"/>
      <c r="F2030" s="1"/>
      <c r="G2030" s="1"/>
      <c r="H2030" s="1"/>
    </row>
    <row r="2031" spans="2:8" ht="12.75">
      <c r="B2031" s="8" t="s">
        <v>51</v>
      </c>
      <c r="C2031" s="8">
        <v>20.84</v>
      </c>
      <c r="D2031" s="8">
        <f>C2031/1509.1/12*1000</f>
        <v>1.1507962803436929</v>
      </c>
      <c r="E2031" s="1"/>
      <c r="F2031" s="1"/>
      <c r="G2031" s="1"/>
      <c r="H2031" s="1"/>
    </row>
    <row r="2032" spans="2:8" ht="12.75">
      <c r="B2032" s="14" t="s">
        <v>31</v>
      </c>
      <c r="C2032" s="23">
        <f>C2030+C2031</f>
        <v>229.25</v>
      </c>
      <c r="D2032" s="23">
        <f>D2030+D2031</f>
        <v>12.659311289289425</v>
      </c>
      <c r="E2032" s="1"/>
      <c r="F2032" s="1"/>
      <c r="G2032" s="1"/>
      <c r="H2032" s="1"/>
    </row>
    <row r="2033" spans="2:8" ht="12.75">
      <c r="B2033" s="6" t="s">
        <v>34</v>
      </c>
      <c r="C2033" s="23">
        <f>C2032/C2016/12*1000</f>
        <v>12.659311289289423</v>
      </c>
      <c r="D2033" s="8"/>
      <c r="E2033" s="1"/>
      <c r="F2033" s="1"/>
      <c r="G2033" s="1"/>
      <c r="H2033" s="1"/>
    </row>
    <row r="2034" spans="2:8" ht="12.75">
      <c r="B2034" s="1"/>
      <c r="C2034" s="1"/>
      <c r="D2034" s="1"/>
      <c r="E2034" s="1"/>
      <c r="F2034" s="1"/>
      <c r="G2034" s="1"/>
      <c r="H2034" s="1"/>
    </row>
    <row r="2035" spans="2:8" ht="12.75">
      <c r="B2035" s="1" t="s">
        <v>52</v>
      </c>
      <c r="C2035" s="1"/>
      <c r="D2035" s="1"/>
      <c r="E2035" s="1"/>
      <c r="F2035" s="1"/>
      <c r="G2035" s="1"/>
      <c r="H2035" s="1"/>
    </row>
    <row r="2036" spans="2:8" ht="12.75">
      <c r="B2036" s="1"/>
      <c r="C2036" s="1"/>
      <c r="D2036" s="1"/>
      <c r="E2036" s="1"/>
      <c r="F2036" s="1"/>
      <c r="G2036" s="1"/>
      <c r="H2036" s="1"/>
    </row>
    <row r="2037" spans="2:8" ht="12.75">
      <c r="B2037" s="2" t="s">
        <v>0</v>
      </c>
      <c r="C2037" s="2"/>
      <c r="D2037" s="2"/>
      <c r="E2037" s="1"/>
      <c r="F2037" s="1"/>
      <c r="G2037" s="1"/>
      <c r="H2037" s="1"/>
    </row>
    <row r="2038" spans="2:8" ht="12.75">
      <c r="B2038" s="2" t="s">
        <v>65</v>
      </c>
      <c r="C2038" s="2"/>
      <c r="D2038" s="2"/>
      <c r="E2038" s="1"/>
      <c r="F2038" s="1"/>
      <c r="G2038" s="1"/>
      <c r="H2038" s="1"/>
    </row>
    <row r="2039" spans="2:8" ht="12.75">
      <c r="B2039" s="2" t="s">
        <v>144</v>
      </c>
      <c r="C2039" s="2"/>
      <c r="D2039" s="2"/>
      <c r="E2039" s="1"/>
      <c r="F2039" s="1"/>
      <c r="G2039" s="1"/>
      <c r="H2039" s="1"/>
    </row>
    <row r="2040" spans="2:8" ht="12.75">
      <c r="B2040" s="3"/>
      <c r="C2040" s="3"/>
      <c r="D2040" s="1"/>
      <c r="E2040" s="1"/>
      <c r="F2040" s="1"/>
      <c r="G2040" s="1"/>
      <c r="H2040" s="1"/>
    </row>
    <row r="2041" spans="2:8" ht="12.75">
      <c r="B2041" s="5" t="s">
        <v>4</v>
      </c>
      <c r="C2041" s="31" t="s">
        <v>40</v>
      </c>
      <c r="D2041" s="6" t="s">
        <v>41</v>
      </c>
      <c r="E2041" s="1"/>
      <c r="F2041" s="1"/>
      <c r="G2041" s="1"/>
      <c r="H2041" s="1"/>
    </row>
    <row r="2042" spans="2:8" ht="12.75">
      <c r="B2042" s="6"/>
      <c r="C2042" s="6"/>
      <c r="D2042" s="7"/>
      <c r="E2042" s="1"/>
      <c r="F2042" s="1"/>
      <c r="G2042" s="1"/>
      <c r="H2042" s="1"/>
    </row>
    <row r="2043" spans="2:8" ht="12.75">
      <c r="B2043" s="10" t="s">
        <v>42</v>
      </c>
      <c r="C2043" s="8">
        <v>975.6</v>
      </c>
      <c r="D2043" s="8"/>
      <c r="E2043" s="1"/>
      <c r="F2043" s="1"/>
      <c r="G2043" s="1"/>
      <c r="H2043" s="1"/>
    </row>
    <row r="2044" spans="2:8" ht="12.75">
      <c r="B2044" s="11" t="s">
        <v>13</v>
      </c>
      <c r="C2044" s="32">
        <v>20.01</v>
      </c>
      <c r="D2044" s="14">
        <f>C2044/975.6/12*1000</f>
        <v>1.7092045920459205</v>
      </c>
      <c r="E2044" s="1"/>
      <c r="F2044" s="1"/>
      <c r="G2044" s="1"/>
      <c r="H2044" s="1"/>
    </row>
    <row r="2045" spans="2:8" ht="12.75">
      <c r="B2045" s="15" t="s">
        <v>14</v>
      </c>
      <c r="C2045" s="9">
        <f>SUM(C2046:C2048)</f>
        <v>58.09</v>
      </c>
      <c r="D2045" s="9">
        <f>SUM(D2046:D2048)</f>
        <v>4.961903785704523</v>
      </c>
      <c r="E2045" s="1"/>
      <c r="F2045" s="1"/>
      <c r="G2045" s="1"/>
      <c r="H2045" s="1"/>
    </row>
    <row r="2046" spans="2:8" ht="12.75">
      <c r="B2046" s="6" t="s">
        <v>43</v>
      </c>
      <c r="C2046" s="8">
        <f>7.61+10.3</f>
        <v>17.91</v>
      </c>
      <c r="D2046" s="8">
        <f>C2046/975.6/12*1000</f>
        <v>1.5298277982779829</v>
      </c>
      <c r="E2046" s="1"/>
      <c r="F2046" s="1"/>
      <c r="G2046" s="1"/>
      <c r="H2046" s="1"/>
    </row>
    <row r="2047" spans="2:8" ht="12.75">
      <c r="B2047" s="17" t="s">
        <v>44</v>
      </c>
      <c r="C2047" s="8">
        <v>8.62</v>
      </c>
      <c r="D2047" s="8">
        <f>C2047/975.6/12*1000</f>
        <v>0.7362990296569631</v>
      </c>
      <c r="E2047" s="1"/>
      <c r="F2047" s="1"/>
      <c r="G2047" s="1"/>
      <c r="H2047" s="1"/>
    </row>
    <row r="2048" spans="2:8" ht="12.75">
      <c r="B2048" s="6" t="s">
        <v>16</v>
      </c>
      <c r="C2048" s="8">
        <v>31.56</v>
      </c>
      <c r="D2048" s="8">
        <f>C2048/975.6/12*1000</f>
        <v>2.695776957769578</v>
      </c>
      <c r="E2048" s="1"/>
      <c r="F2048" s="1"/>
      <c r="G2048" s="1"/>
      <c r="H2048" s="1"/>
    </row>
    <row r="2049" spans="2:8" ht="12.75">
      <c r="B2049" s="10" t="s">
        <v>19</v>
      </c>
      <c r="C2049" s="22">
        <f>SUM(C2050:C2054)</f>
        <v>39.82</v>
      </c>
      <c r="D2049" s="22">
        <f>SUM(D2050:D2054)</f>
        <v>3.401325679923466</v>
      </c>
      <c r="E2049" s="1"/>
      <c r="F2049" s="1"/>
      <c r="G2049" s="1"/>
      <c r="H2049" s="1"/>
    </row>
    <row r="2050" spans="2:8" ht="12.75">
      <c r="B2050" s="6" t="s">
        <v>45</v>
      </c>
      <c r="C2050" s="8">
        <f>27.75+5.61+2.81</f>
        <v>36.17</v>
      </c>
      <c r="D2050" s="8">
        <f>C2050/975.6/12*1000</f>
        <v>3.089551728850622</v>
      </c>
      <c r="E2050" s="1"/>
      <c r="F2050" s="1"/>
      <c r="G2050" s="1"/>
      <c r="H2050" s="1"/>
    </row>
    <row r="2051" spans="2:8" ht="12.75">
      <c r="B2051" s="6" t="s">
        <v>46</v>
      </c>
      <c r="C2051" s="8">
        <v>0</v>
      </c>
      <c r="D2051" s="8">
        <f>C2051/975.6/12*1000</f>
        <v>0</v>
      </c>
      <c r="E2051" s="1"/>
      <c r="F2051" s="1"/>
      <c r="G2051" s="1"/>
      <c r="H2051" s="1"/>
    </row>
    <row r="2052" spans="2:8" ht="12.75">
      <c r="B2052" s="20" t="s">
        <v>47</v>
      </c>
      <c r="C2052" s="8">
        <v>0.37</v>
      </c>
      <c r="D2052" s="8">
        <f>C2052/975.6/12*1000</f>
        <v>0.031604482711493784</v>
      </c>
      <c r="E2052" s="1"/>
      <c r="F2052" s="1"/>
      <c r="G2052" s="1"/>
      <c r="H2052" s="1"/>
    </row>
    <row r="2053" spans="2:8" ht="12.75">
      <c r="B2053" s="8" t="s">
        <v>48</v>
      </c>
      <c r="C2053" s="8">
        <v>2.39</v>
      </c>
      <c r="D2053" s="8">
        <f>C2053/975.6/12*1000</f>
        <v>0.2041478748120815</v>
      </c>
      <c r="E2053" s="1"/>
      <c r="F2053" s="1"/>
      <c r="G2053" s="1"/>
      <c r="H2053" s="1"/>
    </row>
    <row r="2054" spans="2:8" ht="12.75">
      <c r="B2054" s="8" t="s">
        <v>50</v>
      </c>
      <c r="C2054" s="8">
        <v>0.89</v>
      </c>
      <c r="D2054" s="8">
        <f>C2054/975.6/12*1000</f>
        <v>0.07602159354926882</v>
      </c>
      <c r="E2054" s="1"/>
      <c r="F2054" s="1"/>
      <c r="G2054" s="1"/>
      <c r="H2054" s="1"/>
    </row>
    <row r="2055" spans="2:8" ht="12.75">
      <c r="B2055" s="14" t="s">
        <v>27</v>
      </c>
      <c r="C2055" s="14">
        <f>14.56+2.27</f>
        <v>16.830000000000002</v>
      </c>
      <c r="D2055" s="14">
        <f>C2055/975.6/12*1000</f>
        <v>1.437576875768758</v>
      </c>
      <c r="E2055" s="1"/>
      <c r="F2055" s="1"/>
      <c r="G2055" s="1"/>
      <c r="H2055" s="1"/>
    </row>
    <row r="2056" spans="2:8" ht="12.75">
      <c r="B2056" s="14"/>
      <c r="C2056" s="14"/>
      <c r="D2056" s="8"/>
      <c r="E2056" s="1"/>
      <c r="F2056" s="1"/>
      <c r="G2056" s="1"/>
      <c r="H2056" s="1"/>
    </row>
    <row r="2057" spans="2:8" ht="12.75">
      <c r="B2057" s="14" t="s">
        <v>29</v>
      </c>
      <c r="C2057" s="23">
        <f>C2044+C2045+C2049+C2055+C2056</f>
        <v>134.75000000000003</v>
      </c>
      <c r="D2057" s="23">
        <f>D2044+D2045+D2049+D2055+D2056</f>
        <v>11.510010933442668</v>
      </c>
      <c r="E2057" s="1"/>
      <c r="F2057" s="1"/>
      <c r="G2057" s="1"/>
      <c r="H2057" s="1"/>
    </row>
    <row r="2058" spans="2:8" ht="12.75">
      <c r="B2058" s="8" t="s">
        <v>51</v>
      </c>
      <c r="C2058" s="8">
        <v>13.47</v>
      </c>
      <c r="D2058" s="8">
        <f>C2058/975.6/12*1000</f>
        <v>1.1505740057400575</v>
      </c>
      <c r="E2058" s="1"/>
      <c r="F2058" s="1"/>
      <c r="G2058" s="1"/>
      <c r="H2058" s="1"/>
    </row>
    <row r="2059" spans="2:8" ht="12.75">
      <c r="B2059" s="14" t="s">
        <v>31</v>
      </c>
      <c r="C2059" s="23">
        <f>C2057+C2058</f>
        <v>148.22000000000003</v>
      </c>
      <c r="D2059" s="23">
        <f>D2057+D2058</f>
        <v>12.660584939182726</v>
      </c>
      <c r="E2059" s="1"/>
      <c r="F2059" s="1"/>
      <c r="G2059" s="1"/>
      <c r="H2059" s="1"/>
    </row>
    <row r="2060" spans="2:8" ht="12.75">
      <c r="B2060" s="6" t="s">
        <v>34</v>
      </c>
      <c r="C2060" s="23">
        <f>C2059/C2043/12*1000</f>
        <v>12.660584939182726</v>
      </c>
      <c r="D2060" s="8"/>
      <c r="E2060" s="1"/>
      <c r="F2060" s="1"/>
      <c r="G2060" s="1"/>
      <c r="H2060" s="1"/>
    </row>
    <row r="2061" spans="2:8" ht="12.75">
      <c r="B2061" s="1"/>
      <c r="C2061" s="1"/>
      <c r="D2061" s="1"/>
      <c r="E2061" s="1"/>
      <c r="F2061" s="1"/>
      <c r="G2061" s="1"/>
      <c r="H2061" s="1"/>
    </row>
    <row r="2062" spans="2:8" ht="12.75">
      <c r="B2062" s="1" t="s">
        <v>52</v>
      </c>
      <c r="C2062" s="1"/>
      <c r="D2062" s="1"/>
      <c r="E2062" s="1"/>
      <c r="F2062" s="1"/>
      <c r="G2062" s="1"/>
      <c r="H2062" s="1"/>
    </row>
    <row r="2063" spans="2:8" ht="12.75">
      <c r="B2063" s="1"/>
      <c r="C2063" s="1"/>
      <c r="D2063" s="1"/>
      <c r="E2063" s="1"/>
      <c r="F2063" s="1"/>
      <c r="G2063" s="1"/>
      <c r="H2063" s="1"/>
    </row>
    <row r="2064" spans="2:8" ht="12.75">
      <c r="B2064" s="2" t="s">
        <v>0</v>
      </c>
      <c r="C2064" s="2"/>
      <c r="D2064" s="2"/>
      <c r="E2064" s="1"/>
      <c r="F2064" s="1"/>
      <c r="G2064" s="1"/>
      <c r="H2064" s="1"/>
    </row>
    <row r="2065" spans="2:8" ht="12.75">
      <c r="B2065" s="2" t="s">
        <v>65</v>
      </c>
      <c r="C2065" s="2"/>
      <c r="D2065" s="2"/>
      <c r="E2065" s="1"/>
      <c r="F2065" s="1"/>
      <c r="G2065" s="1"/>
      <c r="H2065" s="1"/>
    </row>
    <row r="2066" spans="2:8" ht="12.75">
      <c r="B2066" s="2" t="s">
        <v>145</v>
      </c>
      <c r="C2066" s="2"/>
      <c r="D2066" s="2"/>
      <c r="E2066" s="1"/>
      <c r="F2066" s="1"/>
      <c r="G2066" s="1"/>
      <c r="H2066" s="1"/>
    </row>
    <row r="2067" spans="2:8" ht="12.75">
      <c r="B2067" s="3"/>
      <c r="C2067" s="3"/>
      <c r="D2067" s="1"/>
      <c r="E2067" s="1"/>
      <c r="F2067" s="1"/>
      <c r="G2067" s="1"/>
      <c r="H2067" s="1"/>
    </row>
    <row r="2068" spans="2:8" ht="12.75">
      <c r="B2068" s="5" t="s">
        <v>4</v>
      </c>
      <c r="C2068" s="31" t="s">
        <v>40</v>
      </c>
      <c r="D2068" s="6" t="s">
        <v>41</v>
      </c>
      <c r="E2068" s="1"/>
      <c r="F2068" s="1"/>
      <c r="G2068" s="1"/>
      <c r="H2068" s="1"/>
    </row>
    <row r="2069" spans="2:8" ht="12.75">
      <c r="B2069" s="6"/>
      <c r="C2069" s="6"/>
      <c r="D2069" s="7"/>
      <c r="E2069" s="1"/>
      <c r="F2069" s="1"/>
      <c r="G2069" s="1"/>
      <c r="H2069" s="1"/>
    </row>
    <row r="2070" spans="2:8" ht="12.75">
      <c r="B2070" s="10" t="s">
        <v>42</v>
      </c>
      <c r="C2070" s="8">
        <v>917.7</v>
      </c>
      <c r="D2070" s="8"/>
      <c r="E2070" s="1"/>
      <c r="F2070" s="1"/>
      <c r="G2070" s="1"/>
      <c r="H2070" s="1"/>
    </row>
    <row r="2071" spans="2:8" ht="12.75">
      <c r="B2071" s="11" t="s">
        <v>13</v>
      </c>
      <c r="C2071" s="32">
        <v>18.82</v>
      </c>
      <c r="D2071" s="14">
        <f>C2071/917.7/12*1000</f>
        <v>1.7089826014311138</v>
      </c>
      <c r="E2071" s="1"/>
      <c r="F2071" s="1"/>
      <c r="G2071" s="1"/>
      <c r="H2071" s="1"/>
    </row>
    <row r="2072" spans="2:8" ht="12.75">
      <c r="B2072" s="15" t="s">
        <v>14</v>
      </c>
      <c r="C2072" s="9">
        <f>SUM(C2073:C2075)</f>
        <v>54.13</v>
      </c>
      <c r="D2072" s="9">
        <f>SUM(D2073:D2075)</f>
        <v>4.915368130471105</v>
      </c>
      <c r="E2072" s="1"/>
      <c r="F2072" s="1"/>
      <c r="G2072" s="1"/>
      <c r="H2072" s="1"/>
    </row>
    <row r="2073" spans="2:8" ht="12.75">
      <c r="B2073" s="6" t="s">
        <v>43</v>
      </c>
      <c r="C2073" s="8">
        <f>7.16+9.69</f>
        <v>16.85</v>
      </c>
      <c r="D2073" s="8">
        <f>C2073/917.7/12*1000</f>
        <v>1.5300933493153175</v>
      </c>
      <c r="E2073" s="1"/>
      <c r="F2073" s="1"/>
      <c r="G2073" s="1"/>
      <c r="H2073" s="1"/>
    </row>
    <row r="2074" spans="2:8" ht="12.75">
      <c r="B2074" s="17" t="s">
        <v>44</v>
      </c>
      <c r="C2074" s="8">
        <v>8.11</v>
      </c>
      <c r="D2074" s="8">
        <f>C2074/917.7/12*1000</f>
        <v>0.7364425556645235</v>
      </c>
      <c r="E2074" s="1"/>
      <c r="F2074" s="1"/>
      <c r="G2074" s="1"/>
      <c r="H2074" s="1"/>
    </row>
    <row r="2075" spans="2:8" ht="12.75">
      <c r="B2075" s="6" t="s">
        <v>16</v>
      </c>
      <c r="C2075" s="8">
        <v>29.17</v>
      </c>
      <c r="D2075" s="8">
        <f>C2075/917.7/12*1000</f>
        <v>2.6488322254912644</v>
      </c>
      <c r="E2075" s="1"/>
      <c r="F2075" s="1"/>
      <c r="G2075" s="1"/>
      <c r="H2075" s="1"/>
    </row>
    <row r="2076" spans="2:8" ht="12.75">
      <c r="B2076" s="10" t="s">
        <v>19</v>
      </c>
      <c r="C2076" s="22">
        <f>SUM(C2077:C2081)</f>
        <v>37.959999999999994</v>
      </c>
      <c r="D2076" s="22">
        <f>SUM(D2077:D2081)</f>
        <v>3.4470233554901744</v>
      </c>
      <c r="E2076" s="1"/>
      <c r="F2076" s="1"/>
      <c r="G2076" s="1"/>
      <c r="H2076" s="1"/>
    </row>
    <row r="2077" spans="2:8" ht="12.75">
      <c r="B2077" s="6" t="s">
        <v>45</v>
      </c>
      <c r="C2077" s="8">
        <f>25.94+5.24+2.62</f>
        <v>33.8</v>
      </c>
      <c r="D2077" s="8">
        <f>C2077/917.7/12*1000</f>
        <v>3.0692673713268674</v>
      </c>
      <c r="E2077" s="1"/>
      <c r="F2077" s="1"/>
      <c r="G2077" s="1"/>
      <c r="H2077" s="1"/>
    </row>
    <row r="2078" spans="2:8" ht="12.75">
      <c r="B2078" s="6" t="s">
        <v>46</v>
      </c>
      <c r="C2078" s="8">
        <v>0</v>
      </c>
      <c r="D2078" s="8">
        <f>C2078/917.7/12*1000</f>
        <v>0</v>
      </c>
      <c r="E2078" s="1"/>
      <c r="F2078" s="1"/>
      <c r="G2078" s="1"/>
      <c r="H2078" s="1"/>
    </row>
    <row r="2079" spans="2:8" ht="12.75">
      <c r="B2079" s="20" t="s">
        <v>47</v>
      </c>
      <c r="C2079" s="8">
        <v>0.37</v>
      </c>
      <c r="D2079" s="8">
        <f>C2079/917.7/12*1000</f>
        <v>0.03359848897606334</v>
      </c>
      <c r="E2079" s="1"/>
      <c r="F2079" s="1"/>
      <c r="G2079" s="1"/>
      <c r="H2079" s="1"/>
    </row>
    <row r="2080" spans="2:8" ht="12.75">
      <c r="B2080" s="8" t="s">
        <v>48</v>
      </c>
      <c r="C2080" s="8">
        <v>2.92</v>
      </c>
      <c r="D2080" s="8">
        <f>C2080/917.7/12*1000</f>
        <v>0.2651556427300134</v>
      </c>
      <c r="E2080" s="1"/>
      <c r="F2080" s="1"/>
      <c r="G2080" s="1"/>
      <c r="H2080" s="1"/>
    </row>
    <row r="2081" spans="2:8" ht="12.75">
      <c r="B2081" s="8" t="s">
        <v>50</v>
      </c>
      <c r="C2081" s="8">
        <v>0.87</v>
      </c>
      <c r="D2081" s="8">
        <f>C2081/917.7/12*1000</f>
        <v>0.07900185245723002</v>
      </c>
      <c r="E2081" s="1"/>
      <c r="F2081" s="1"/>
      <c r="G2081" s="1"/>
      <c r="H2081" s="1"/>
    </row>
    <row r="2082" spans="2:8" ht="12.75">
      <c r="B2082" s="14" t="s">
        <v>27</v>
      </c>
      <c r="C2082" s="14">
        <f>13.69+2.14</f>
        <v>15.83</v>
      </c>
      <c r="D2082" s="14">
        <f>C2082/917.7/12*1000</f>
        <v>1.437470487813737</v>
      </c>
      <c r="E2082" s="1"/>
      <c r="F2082" s="1"/>
      <c r="G2082" s="1"/>
      <c r="H2082" s="1"/>
    </row>
    <row r="2083" spans="2:8" ht="12.75">
      <c r="B2083" s="14"/>
      <c r="C2083" s="14"/>
      <c r="D2083" s="8"/>
      <c r="E2083" s="1"/>
      <c r="F2083" s="1"/>
      <c r="G2083" s="1"/>
      <c r="H2083" s="1"/>
    </row>
    <row r="2084" spans="2:8" ht="12.75">
      <c r="B2084" s="14" t="s">
        <v>29</v>
      </c>
      <c r="C2084" s="23">
        <f>C2071+C2072+C2076+C2082+C2083</f>
        <v>126.74</v>
      </c>
      <c r="D2084" s="23">
        <f>D2071+D2072+D2076+D2082+D2083</f>
        <v>11.50884457520613</v>
      </c>
      <c r="E2084" s="1"/>
      <c r="F2084" s="1"/>
      <c r="G2084" s="1"/>
      <c r="H2084" s="1"/>
    </row>
    <row r="2085" spans="2:8" ht="12.75">
      <c r="B2085" s="8" t="s">
        <v>51</v>
      </c>
      <c r="C2085" s="8">
        <v>12.67</v>
      </c>
      <c r="D2085" s="8">
        <f>C2085/917.7/12*1000</f>
        <v>1.1505212306127637</v>
      </c>
      <c r="E2085" s="1"/>
      <c r="F2085" s="1"/>
      <c r="G2085" s="1"/>
      <c r="H2085" s="1"/>
    </row>
    <row r="2086" spans="2:8" ht="12.75">
      <c r="B2086" s="14" t="s">
        <v>31</v>
      </c>
      <c r="C2086" s="23">
        <f>C2084+C2085</f>
        <v>139.41</v>
      </c>
      <c r="D2086" s="23">
        <f>D2084+D2085</f>
        <v>12.659365805818894</v>
      </c>
      <c r="E2086" s="1"/>
      <c r="F2086" s="1"/>
      <c r="G2086" s="1"/>
      <c r="H2086" s="1"/>
    </row>
    <row r="2087" spans="2:8" ht="12.75">
      <c r="B2087" s="6" t="s">
        <v>34</v>
      </c>
      <c r="C2087" s="23">
        <f>C2086/C2070/12*1000</f>
        <v>12.659365805818895</v>
      </c>
      <c r="D2087" s="8"/>
      <c r="E2087" s="1"/>
      <c r="F2087" s="1"/>
      <c r="G2087" s="1"/>
      <c r="H2087" s="1"/>
    </row>
    <row r="2088" spans="2:8" ht="12.75">
      <c r="B2088" s="1"/>
      <c r="C2088" s="1"/>
      <c r="D2088" s="1"/>
      <c r="E2088" s="1"/>
      <c r="F2088" s="1"/>
      <c r="G2088" s="1"/>
      <c r="H2088" s="1"/>
    </row>
    <row r="2089" spans="2:8" ht="12.75">
      <c r="B2089" s="1" t="s">
        <v>52</v>
      </c>
      <c r="C2089" s="1"/>
      <c r="D2089" s="1"/>
      <c r="E2089" s="1"/>
      <c r="F2089" s="1"/>
      <c r="G2089" s="1"/>
      <c r="H2089" s="1"/>
    </row>
    <row r="2090" spans="2:8" ht="12.75">
      <c r="B2090" s="1"/>
      <c r="C2090" s="1"/>
      <c r="D2090" s="1"/>
      <c r="E2090" s="1"/>
      <c r="F2090" s="1"/>
      <c r="G2090" s="1"/>
      <c r="H2090" s="1"/>
    </row>
    <row r="2091" spans="2:8" ht="12.75">
      <c r="B2091" s="2" t="s">
        <v>0</v>
      </c>
      <c r="C2091" s="2"/>
      <c r="D2091" s="2"/>
      <c r="E2091" s="1"/>
      <c r="F2091" s="1"/>
      <c r="G2091" s="1"/>
      <c r="H2091" s="1"/>
    </row>
    <row r="2092" spans="2:8" ht="12.75">
      <c r="B2092" s="2" t="s">
        <v>65</v>
      </c>
      <c r="C2092" s="2"/>
      <c r="D2092" s="2"/>
      <c r="E2092" s="1"/>
      <c r="F2092" s="1"/>
      <c r="G2092" s="1"/>
      <c r="H2092" s="1"/>
    </row>
    <row r="2093" spans="2:8" ht="12.75">
      <c r="B2093" s="2" t="s">
        <v>146</v>
      </c>
      <c r="C2093" s="2"/>
      <c r="D2093" s="2"/>
      <c r="E2093" s="1"/>
      <c r="F2093" s="1"/>
      <c r="G2093" s="1"/>
      <c r="H2093" s="1"/>
    </row>
    <row r="2094" spans="2:8" ht="12.75">
      <c r="B2094" s="3"/>
      <c r="C2094" s="3"/>
      <c r="D2094" s="1"/>
      <c r="E2094" s="1"/>
      <c r="F2094" s="1"/>
      <c r="G2094" s="1"/>
      <c r="H2094" s="1"/>
    </row>
    <row r="2095" spans="2:8" ht="12.75">
      <c r="B2095" s="5" t="s">
        <v>4</v>
      </c>
      <c r="C2095" s="31" t="s">
        <v>40</v>
      </c>
      <c r="D2095" s="6" t="s">
        <v>41</v>
      </c>
      <c r="E2095" s="1"/>
      <c r="F2095" s="1"/>
      <c r="G2095" s="1"/>
      <c r="H2095" s="1"/>
    </row>
    <row r="2096" spans="2:8" ht="12.75">
      <c r="B2096" s="6"/>
      <c r="C2096" s="6"/>
      <c r="D2096" s="7"/>
      <c r="E2096" s="1"/>
      <c r="F2096" s="1"/>
      <c r="G2096" s="1"/>
      <c r="H2096" s="1"/>
    </row>
    <row r="2097" spans="2:8" ht="12.75">
      <c r="B2097" s="10" t="s">
        <v>42</v>
      </c>
      <c r="C2097" s="8">
        <v>4019.6</v>
      </c>
      <c r="D2097" s="8"/>
      <c r="E2097" s="1"/>
      <c r="F2097" s="1"/>
      <c r="G2097" s="1"/>
      <c r="H2097" s="1"/>
    </row>
    <row r="2098" spans="2:8" ht="12.75">
      <c r="B2098" s="11" t="s">
        <v>13</v>
      </c>
      <c r="C2098" s="32">
        <v>82.44</v>
      </c>
      <c r="D2098" s="14">
        <f>C2098/4019.6/12*1000</f>
        <v>1.709125286098119</v>
      </c>
      <c r="E2098" s="1"/>
      <c r="F2098" s="1"/>
      <c r="G2098" s="1"/>
      <c r="H2098" s="1"/>
    </row>
    <row r="2099" spans="2:8" ht="12.75">
      <c r="B2099" s="15" t="s">
        <v>14</v>
      </c>
      <c r="C2099" s="9">
        <f>SUM(C2100:C2102)</f>
        <v>219.17999999999998</v>
      </c>
      <c r="D2099" s="9">
        <f>SUM(D2100:D2102)</f>
        <v>4.543984476067271</v>
      </c>
      <c r="E2099" s="1"/>
      <c r="F2099" s="1"/>
      <c r="G2099" s="1"/>
      <c r="H2099" s="1"/>
    </row>
    <row r="2100" spans="2:8" ht="12.75">
      <c r="B2100" s="6" t="s">
        <v>43</v>
      </c>
      <c r="C2100" s="8">
        <f>31.35+42.44</f>
        <v>73.78999999999999</v>
      </c>
      <c r="D2100" s="8">
        <f>C2100/4019.6/12*1000</f>
        <v>1.529795667893986</v>
      </c>
      <c r="E2100" s="1"/>
      <c r="F2100" s="1"/>
      <c r="G2100" s="1"/>
      <c r="H2100" s="1"/>
    </row>
    <row r="2101" spans="2:8" ht="12.75">
      <c r="B2101" s="17" t="s">
        <v>44</v>
      </c>
      <c r="C2101" s="8">
        <v>35.51</v>
      </c>
      <c r="D2101" s="8">
        <f>C2101/4019.6/12*1000</f>
        <v>0.7361843632865626</v>
      </c>
      <c r="E2101" s="1"/>
      <c r="F2101" s="1"/>
      <c r="G2101" s="1"/>
      <c r="H2101" s="1"/>
    </row>
    <row r="2102" spans="2:8" ht="12.75">
      <c r="B2102" s="6" t="s">
        <v>16</v>
      </c>
      <c r="C2102" s="8">
        <v>109.88</v>
      </c>
      <c r="D2102" s="8">
        <f>C2102/4019.6/12*1000</f>
        <v>2.278004444886722</v>
      </c>
      <c r="E2102" s="1"/>
      <c r="F2102" s="1"/>
      <c r="G2102" s="1"/>
      <c r="H2102" s="1"/>
    </row>
    <row r="2103" spans="2:8" ht="12.75">
      <c r="B2103" s="10" t="s">
        <v>19</v>
      </c>
      <c r="C2103" s="22">
        <f>SUM(C2104:C2108)</f>
        <v>184.17</v>
      </c>
      <c r="D2103" s="22">
        <f>SUM(D2104:D2108)</f>
        <v>3.8181659866653397</v>
      </c>
      <c r="E2103" s="1"/>
      <c r="F2103" s="1"/>
      <c r="G2103" s="1"/>
      <c r="H2103" s="1"/>
    </row>
    <row r="2104" spans="2:8" ht="12.75">
      <c r="B2104" s="6" t="s">
        <v>45</v>
      </c>
      <c r="C2104" s="8">
        <f>128.28+25.91+12.98</f>
        <v>167.17</v>
      </c>
      <c r="D2104" s="8">
        <f>C2104/4019.6/12*1000</f>
        <v>3.4657262745878525</v>
      </c>
      <c r="E2104" s="1"/>
      <c r="F2104" s="1"/>
      <c r="G2104" s="1"/>
      <c r="H2104" s="1"/>
    </row>
    <row r="2105" spans="2:8" ht="12.75">
      <c r="B2105" s="6" t="s">
        <v>46</v>
      </c>
      <c r="C2105" s="8">
        <v>0</v>
      </c>
      <c r="D2105" s="8">
        <f>C2105/4019.6/12*1000</f>
        <v>0</v>
      </c>
      <c r="E2105" s="1"/>
      <c r="F2105" s="1"/>
      <c r="G2105" s="1"/>
      <c r="H2105" s="1"/>
    </row>
    <row r="2106" spans="2:8" ht="12.75">
      <c r="B2106" s="20" t="s">
        <v>47</v>
      </c>
      <c r="C2106" s="8">
        <v>1.53</v>
      </c>
      <c r="D2106" s="8">
        <f>C2106/4019.6/12*1000</f>
        <v>0.03171957408697383</v>
      </c>
      <c r="E2106" s="1"/>
      <c r="F2106" s="1"/>
      <c r="G2106" s="1"/>
      <c r="H2106" s="1"/>
    </row>
    <row r="2107" spans="2:8" ht="12.75">
      <c r="B2107" s="8" t="s">
        <v>48</v>
      </c>
      <c r="C2107" s="8">
        <v>11.94</v>
      </c>
      <c r="D2107" s="8">
        <f>C2107/4019.6/12*1000</f>
        <v>0.24753706836501144</v>
      </c>
      <c r="E2107" s="1"/>
      <c r="F2107" s="1"/>
      <c r="G2107" s="1"/>
      <c r="H2107" s="1"/>
    </row>
    <row r="2108" spans="2:8" ht="12.75">
      <c r="B2108" s="8" t="s">
        <v>50</v>
      </c>
      <c r="C2108" s="8">
        <v>3.53</v>
      </c>
      <c r="D2108" s="8">
        <f>C2108/4019.6/12*1000</f>
        <v>0.07318306962550171</v>
      </c>
      <c r="E2108" s="1"/>
      <c r="F2108" s="1"/>
      <c r="G2108" s="1"/>
      <c r="H2108" s="1"/>
    </row>
    <row r="2109" spans="2:8" ht="12.75">
      <c r="B2109" s="14" t="s">
        <v>27</v>
      </c>
      <c r="C2109" s="14">
        <f>59.98+9.37</f>
        <v>69.35</v>
      </c>
      <c r="D2109" s="14">
        <f>C2109/4019.6/12*1000</f>
        <v>1.4377467077984543</v>
      </c>
      <c r="E2109" s="1"/>
      <c r="F2109" s="1"/>
      <c r="G2109" s="1"/>
      <c r="H2109" s="1"/>
    </row>
    <row r="2110" spans="2:8" ht="12.75">
      <c r="B2110" s="14"/>
      <c r="C2110" s="14"/>
      <c r="D2110" s="8"/>
      <c r="E2110" s="1"/>
      <c r="F2110" s="1"/>
      <c r="G2110" s="1"/>
      <c r="H2110" s="1"/>
    </row>
    <row r="2111" spans="2:8" ht="12.75">
      <c r="B2111" s="14" t="s">
        <v>29</v>
      </c>
      <c r="C2111" s="23">
        <f>C2098+C2099+C2103+C2109+C2110</f>
        <v>555.14</v>
      </c>
      <c r="D2111" s="23">
        <f>D2098+D2099+D2103+D2109+D2110</f>
        <v>11.509022456629182</v>
      </c>
      <c r="E2111" s="1"/>
      <c r="F2111" s="1"/>
      <c r="G2111" s="1"/>
      <c r="H2111" s="1"/>
    </row>
    <row r="2112" spans="2:8" ht="12.75">
      <c r="B2112" s="8" t="s">
        <v>51</v>
      </c>
      <c r="C2112" s="8">
        <v>55.51</v>
      </c>
      <c r="D2112" s="8">
        <f>C2112/4019.6/12*1000</f>
        <v>1.1508193186718412</v>
      </c>
      <c r="E2112" s="1"/>
      <c r="F2112" s="1"/>
      <c r="G2112" s="1"/>
      <c r="H2112" s="1"/>
    </row>
    <row r="2113" spans="2:8" ht="12.75">
      <c r="B2113" s="14" t="s">
        <v>31</v>
      </c>
      <c r="C2113" s="23">
        <f>C2111+C2112</f>
        <v>610.65</v>
      </c>
      <c r="D2113" s="23">
        <f>D2111+D2112</f>
        <v>12.659841775301024</v>
      </c>
      <c r="E2113" s="1"/>
      <c r="F2113" s="1"/>
      <c r="G2113" s="1"/>
      <c r="H2113" s="1"/>
    </row>
    <row r="2114" spans="2:8" ht="12.75">
      <c r="B2114" s="6" t="s">
        <v>34</v>
      </c>
      <c r="C2114" s="23">
        <f>C2113/C2097/12*1000</f>
        <v>12.659841775301025</v>
      </c>
      <c r="D2114" s="8"/>
      <c r="E2114" s="1"/>
      <c r="F2114" s="1"/>
      <c r="G2114" s="1"/>
      <c r="H2114" s="1"/>
    </row>
    <row r="2115" spans="2:8" ht="12.75">
      <c r="B2115" s="1"/>
      <c r="C2115" s="1"/>
      <c r="D2115" s="1"/>
      <c r="E2115" s="1"/>
      <c r="F2115" s="1"/>
      <c r="G2115" s="1"/>
      <c r="H2115" s="1"/>
    </row>
    <row r="2116" spans="2:8" ht="12.75">
      <c r="B2116" s="1" t="s">
        <v>52</v>
      </c>
      <c r="C2116" s="1"/>
      <c r="D2116" s="1"/>
      <c r="E2116" s="1"/>
      <c r="F2116" s="1"/>
      <c r="G2116" s="1"/>
      <c r="H2116" s="1"/>
    </row>
    <row r="2117" spans="2:8" ht="12.75">
      <c r="B2117" s="1"/>
      <c r="C2117" s="1"/>
      <c r="D2117" s="1"/>
      <c r="E2117" s="1"/>
      <c r="F2117" s="1"/>
      <c r="G2117" s="1"/>
      <c r="H2117" s="1"/>
    </row>
    <row r="2118" spans="2:8" ht="12.75">
      <c r="B2118" s="2" t="s">
        <v>0</v>
      </c>
      <c r="C2118" s="2"/>
      <c r="D2118" s="2"/>
      <c r="E2118" s="1"/>
      <c r="F2118" s="1"/>
      <c r="G2118" s="1"/>
      <c r="H2118" s="1"/>
    </row>
    <row r="2119" spans="2:8" ht="12.75">
      <c r="B2119" s="2" t="s">
        <v>65</v>
      </c>
      <c r="C2119" s="2"/>
      <c r="D2119" s="2"/>
      <c r="E2119" s="1"/>
      <c r="F2119" s="1"/>
      <c r="G2119" s="1"/>
      <c r="H2119" s="1"/>
    </row>
    <row r="2120" spans="2:8" ht="12.75">
      <c r="B2120" s="2" t="s">
        <v>147</v>
      </c>
      <c r="C2120" s="2"/>
      <c r="D2120" s="2"/>
      <c r="E2120" s="1"/>
      <c r="F2120" s="1"/>
      <c r="G2120" s="1"/>
      <c r="H2120" s="1"/>
    </row>
    <row r="2121" spans="2:8" ht="12.75">
      <c r="B2121" s="3"/>
      <c r="C2121" s="3"/>
      <c r="D2121" s="1"/>
      <c r="E2121" s="1"/>
      <c r="F2121" s="1"/>
      <c r="G2121" s="1"/>
      <c r="H2121" s="1"/>
    </row>
    <row r="2122" spans="2:8" ht="12.75">
      <c r="B2122" s="5" t="s">
        <v>4</v>
      </c>
      <c r="C2122" s="31" t="s">
        <v>40</v>
      </c>
      <c r="D2122" s="6" t="s">
        <v>41</v>
      </c>
      <c r="E2122" s="1"/>
      <c r="F2122" s="1"/>
      <c r="G2122" s="1"/>
      <c r="H2122" s="1"/>
    </row>
    <row r="2123" spans="2:8" ht="12.75">
      <c r="B2123" s="6"/>
      <c r="C2123" s="6"/>
      <c r="D2123" s="7"/>
      <c r="E2123" s="1"/>
      <c r="F2123" s="1"/>
      <c r="G2123" s="1"/>
      <c r="H2123" s="1"/>
    </row>
    <row r="2124" spans="2:8" ht="12.75">
      <c r="B2124" s="10" t="s">
        <v>42</v>
      </c>
      <c r="C2124" s="8">
        <v>751.8</v>
      </c>
      <c r="D2124" s="8"/>
      <c r="E2124" s="1"/>
      <c r="F2124" s="1"/>
      <c r="G2124" s="1"/>
      <c r="H2124" s="1"/>
    </row>
    <row r="2125" spans="2:8" ht="12.75">
      <c r="B2125" s="11" t="s">
        <v>13</v>
      </c>
      <c r="C2125" s="32">
        <v>15.42</v>
      </c>
      <c r="D2125" s="14">
        <f>C2125/751.8/12*1000</f>
        <v>1.7092311785049215</v>
      </c>
      <c r="E2125" s="1"/>
      <c r="F2125" s="1"/>
      <c r="G2125" s="1"/>
      <c r="H2125" s="1"/>
    </row>
    <row r="2126" spans="2:8" ht="12.75">
      <c r="B2126" s="15" t="s">
        <v>14</v>
      </c>
      <c r="C2126" s="9">
        <f>SUM(C2127:C2129)</f>
        <v>10.75</v>
      </c>
      <c r="D2126" s="9">
        <f>SUM(D2127:D2129)</f>
        <v>1.1915846413053122</v>
      </c>
      <c r="E2126" s="1"/>
      <c r="F2126" s="1"/>
      <c r="G2126" s="1"/>
      <c r="H2126" s="1"/>
    </row>
    <row r="2127" spans="2:8" ht="12.75">
      <c r="B2127" s="6" t="s">
        <v>43</v>
      </c>
      <c r="C2127" s="8">
        <f>5.86+7.94</f>
        <v>13.8</v>
      </c>
      <c r="D2127" s="8">
        <f>C2127/751.8/12*1000</f>
        <v>1.529662144187284</v>
      </c>
      <c r="E2127" s="1"/>
      <c r="F2127" s="1"/>
      <c r="G2127" s="1"/>
      <c r="H2127" s="1"/>
    </row>
    <row r="2128" spans="2:8" ht="12.75">
      <c r="B2128" s="17" t="s">
        <v>44</v>
      </c>
      <c r="C2128" s="8">
        <v>6.64</v>
      </c>
      <c r="D2128" s="8">
        <f>C2128/751.8/12*1000</f>
        <v>0.7360113505364904</v>
      </c>
      <c r="E2128" s="1"/>
      <c r="F2128" s="1"/>
      <c r="G2128" s="1"/>
      <c r="H2128" s="1"/>
    </row>
    <row r="2129" spans="2:8" ht="12.75">
      <c r="B2129" s="6" t="s">
        <v>16</v>
      </c>
      <c r="C2129" s="8">
        <f>-20.07+10.38</f>
        <v>-9.69</v>
      </c>
      <c r="D2129" s="8">
        <f>C2129/751.8/12*1000</f>
        <v>-1.0740888534184623</v>
      </c>
      <c r="E2129" s="1"/>
      <c r="F2129" s="1"/>
      <c r="G2129" s="1"/>
      <c r="H2129" s="1"/>
    </row>
    <row r="2130" spans="2:8" ht="12.75">
      <c r="B2130" s="10" t="s">
        <v>19</v>
      </c>
      <c r="C2130" s="22">
        <f>SUM(C2131:C2134)</f>
        <v>75.06000000000002</v>
      </c>
      <c r="D2130" s="22">
        <f>SUM(D2131:D2134)</f>
        <v>8.320031923383878</v>
      </c>
      <c r="E2130" s="1"/>
      <c r="F2130" s="1"/>
      <c r="G2130" s="1"/>
      <c r="H2130" s="1"/>
    </row>
    <row r="2131" spans="2:8" ht="12.75">
      <c r="B2131" s="6" t="s">
        <v>45</v>
      </c>
      <c r="C2131" s="8">
        <f>55.57+11.22+5.62</f>
        <v>72.41000000000001</v>
      </c>
      <c r="D2131" s="8">
        <f>C2131/751.8/12*1000</f>
        <v>8.026292453666755</v>
      </c>
      <c r="E2131" s="1"/>
      <c r="F2131" s="1"/>
      <c r="G2131" s="1"/>
      <c r="H2131" s="1"/>
    </row>
    <row r="2132" spans="2:8" ht="12.75">
      <c r="B2132" s="6" t="s">
        <v>46</v>
      </c>
      <c r="C2132" s="8">
        <v>0</v>
      </c>
      <c r="D2132" s="8">
        <f>C2132/751.8/12*1000</f>
        <v>0</v>
      </c>
      <c r="E2132" s="1"/>
      <c r="F2132" s="1"/>
      <c r="G2132" s="1"/>
      <c r="H2132" s="1"/>
    </row>
    <row r="2133" spans="2:8" ht="12.75">
      <c r="B2133" s="8" t="s">
        <v>48</v>
      </c>
      <c r="C2133" s="8">
        <v>2.26</v>
      </c>
      <c r="D2133" s="8">
        <f>C2133/751.8/12*1000</f>
        <v>0.25050988738139573</v>
      </c>
      <c r="E2133" s="1"/>
      <c r="F2133" s="1"/>
      <c r="G2133" s="1"/>
      <c r="H2133" s="1"/>
    </row>
    <row r="2134" spans="2:8" ht="12.75">
      <c r="B2134" s="8" t="s">
        <v>50</v>
      </c>
      <c r="C2134" s="8">
        <v>0.39</v>
      </c>
      <c r="D2134" s="8">
        <f>C2134/751.8/12*1000</f>
        <v>0.04322958233572759</v>
      </c>
      <c r="E2134" s="1"/>
      <c r="F2134" s="1"/>
      <c r="G2134" s="1"/>
      <c r="H2134" s="1"/>
    </row>
    <row r="2135" spans="2:8" ht="12.75">
      <c r="B2135" s="14" t="s">
        <v>27</v>
      </c>
      <c r="C2135" s="14">
        <f>11.22+1.75</f>
        <v>12.97</v>
      </c>
      <c r="D2135" s="14">
        <f>C2135/751.8/12*1000</f>
        <v>1.4376607253702227</v>
      </c>
      <c r="E2135" s="1"/>
      <c r="F2135" s="1"/>
      <c r="G2135" s="1"/>
      <c r="H2135" s="1"/>
    </row>
    <row r="2136" spans="2:8" ht="12.75">
      <c r="B2136" s="14"/>
      <c r="C2136" s="14"/>
      <c r="D2136" s="8"/>
      <c r="E2136" s="1"/>
      <c r="F2136" s="1"/>
      <c r="G2136" s="1"/>
      <c r="H2136" s="1"/>
    </row>
    <row r="2137" spans="2:8" ht="12.75">
      <c r="B2137" s="14" t="s">
        <v>29</v>
      </c>
      <c r="C2137" s="23">
        <f>C2125+C2126+C2130+C2135+C2136</f>
        <v>114.20000000000002</v>
      </c>
      <c r="D2137" s="23">
        <f>D2125+D2126+D2130+D2135+D2136</f>
        <v>12.658508468564335</v>
      </c>
      <c r="E2137" s="1"/>
      <c r="F2137" s="1"/>
      <c r="G2137" s="1"/>
      <c r="H2137" s="1"/>
    </row>
    <row r="2138" spans="2:8" ht="12.75">
      <c r="B2138" s="8" t="s">
        <v>51</v>
      </c>
      <c r="C2138" s="8"/>
      <c r="D2138" s="8">
        <f>C2138/751.8/12*1000</f>
        <v>0</v>
      </c>
      <c r="E2138" s="1"/>
      <c r="F2138" s="1"/>
      <c r="G2138" s="1"/>
      <c r="H2138" s="1"/>
    </row>
    <row r="2139" spans="2:8" ht="12.75">
      <c r="B2139" s="14" t="s">
        <v>31</v>
      </c>
      <c r="C2139" s="23">
        <f>C2137+C2138</f>
        <v>114.20000000000002</v>
      </c>
      <c r="D2139" s="23">
        <f>D2137+D2138</f>
        <v>12.658508468564335</v>
      </c>
      <c r="E2139" s="1"/>
      <c r="F2139" s="1"/>
      <c r="G2139" s="1"/>
      <c r="H2139" s="1"/>
    </row>
    <row r="2140" spans="2:8" ht="12.75">
      <c r="B2140" s="6" t="s">
        <v>34</v>
      </c>
      <c r="C2140" s="23">
        <f>C2139/C2124/12*1000</f>
        <v>12.658508468564337</v>
      </c>
      <c r="D2140" s="8"/>
      <c r="E2140" s="1"/>
      <c r="F2140" s="1"/>
      <c r="G2140" s="1"/>
      <c r="H2140" s="1"/>
    </row>
    <row r="2141" spans="2:8" ht="12.75">
      <c r="B2141" s="1"/>
      <c r="C2141" s="1"/>
      <c r="D2141" s="1"/>
      <c r="E2141" s="1"/>
      <c r="F2141" s="1"/>
      <c r="G2141" s="1"/>
      <c r="H2141" s="1"/>
    </row>
    <row r="2142" spans="2:8" ht="12.75">
      <c r="B2142" s="1" t="s">
        <v>52</v>
      </c>
      <c r="C2142" s="1"/>
      <c r="D2142" s="1"/>
      <c r="E2142" s="1"/>
      <c r="F2142" s="1"/>
      <c r="G2142" s="1"/>
      <c r="H2142" s="1"/>
    </row>
    <row r="2143" spans="2:8" ht="12.75">
      <c r="B2143" s="1"/>
      <c r="C2143" s="1"/>
      <c r="D2143" s="1"/>
      <c r="E2143" s="1"/>
      <c r="F2143" s="1"/>
      <c r="G2143" s="1"/>
      <c r="H2143" s="1"/>
    </row>
    <row r="2144" spans="2:8" ht="12.75">
      <c r="B2144" s="2" t="s">
        <v>0</v>
      </c>
      <c r="C2144" s="2"/>
      <c r="D2144" s="2"/>
      <c r="E2144" s="1"/>
      <c r="F2144" s="1"/>
      <c r="G2144" s="1"/>
      <c r="H2144" s="1"/>
    </row>
    <row r="2145" spans="2:8" ht="12.75">
      <c r="B2145" s="2" t="s">
        <v>65</v>
      </c>
      <c r="C2145" s="2"/>
      <c r="D2145" s="2"/>
      <c r="E2145" s="1"/>
      <c r="F2145" s="1"/>
      <c r="G2145" s="1"/>
      <c r="H2145" s="1"/>
    </row>
    <row r="2146" spans="2:8" ht="12.75">
      <c r="B2146" s="2" t="s">
        <v>148</v>
      </c>
      <c r="C2146" s="2"/>
      <c r="D2146" s="2"/>
      <c r="E2146" s="1"/>
      <c r="F2146" s="1"/>
      <c r="G2146" s="1"/>
      <c r="H2146" s="1"/>
    </row>
    <row r="2147" spans="2:8" ht="12.75">
      <c r="B2147" s="3"/>
      <c r="C2147" s="3"/>
      <c r="D2147" s="1"/>
      <c r="E2147" s="1"/>
      <c r="F2147" s="1"/>
      <c r="G2147" s="1"/>
      <c r="H2147" s="1"/>
    </row>
    <row r="2148" spans="2:8" ht="12.75">
      <c r="B2148" s="5" t="s">
        <v>4</v>
      </c>
      <c r="C2148" s="31" t="s">
        <v>40</v>
      </c>
      <c r="D2148" s="6" t="s">
        <v>41</v>
      </c>
      <c r="E2148" s="1"/>
      <c r="F2148" s="1"/>
      <c r="G2148" s="1"/>
      <c r="H2148" s="1"/>
    </row>
    <row r="2149" spans="2:8" ht="12.75">
      <c r="B2149" s="6"/>
      <c r="C2149" s="6"/>
      <c r="D2149" s="7"/>
      <c r="E2149" s="1"/>
      <c r="F2149" s="1"/>
      <c r="G2149" s="1"/>
      <c r="H2149" s="1"/>
    </row>
    <row r="2150" spans="2:8" ht="12.75">
      <c r="B2150" s="10" t="s">
        <v>42</v>
      </c>
      <c r="C2150" s="8">
        <v>356.2</v>
      </c>
      <c r="D2150" s="8"/>
      <c r="E2150" s="1"/>
      <c r="F2150" s="1"/>
      <c r="G2150" s="1"/>
      <c r="H2150" s="1"/>
    </row>
    <row r="2151" spans="2:8" ht="12.75">
      <c r="B2151" s="11" t="s">
        <v>13</v>
      </c>
      <c r="C2151" s="32">
        <v>7.31</v>
      </c>
      <c r="D2151" s="14">
        <f>C2151/356.2/12*1000</f>
        <v>1.7101815459479692</v>
      </c>
      <c r="E2151" s="1"/>
      <c r="F2151" s="1"/>
      <c r="G2151" s="1"/>
      <c r="H2151" s="1"/>
    </row>
    <row r="2152" spans="2:8" ht="12.75">
      <c r="B2152" s="15" t="s">
        <v>14</v>
      </c>
      <c r="C2152" s="9">
        <f>SUM(C2153:C2155)</f>
        <v>34.1</v>
      </c>
      <c r="D2152" s="9">
        <f>SUM(D2153:D2155)</f>
        <v>7.9777278682388175</v>
      </c>
      <c r="E2152" s="1"/>
      <c r="F2152" s="1"/>
      <c r="G2152" s="1"/>
      <c r="H2152" s="1"/>
    </row>
    <row r="2153" spans="2:8" ht="12.75">
      <c r="B2153" s="6" t="s">
        <v>43</v>
      </c>
      <c r="C2153" s="8">
        <f>2.78+3.76</f>
        <v>6.54</v>
      </c>
      <c r="D2153" s="8">
        <f>C2153/356.2/12*1000</f>
        <v>1.5300393037619315</v>
      </c>
      <c r="E2153" s="1"/>
      <c r="F2153" s="1"/>
      <c r="G2153" s="1"/>
      <c r="H2153" s="1"/>
    </row>
    <row r="2154" spans="2:8" ht="12.75">
      <c r="B2154" s="17" t="s">
        <v>44</v>
      </c>
      <c r="C2154" s="8">
        <v>3.15</v>
      </c>
      <c r="D2154" s="8">
        <f>C2154/356.2/12*1000</f>
        <v>0.7369455362156093</v>
      </c>
      <c r="E2154" s="1"/>
      <c r="F2154" s="1"/>
      <c r="G2154" s="1"/>
      <c r="H2154" s="1"/>
    </row>
    <row r="2155" spans="2:8" ht="12.75">
      <c r="B2155" s="6" t="s">
        <v>16</v>
      </c>
      <c r="C2155" s="8">
        <f>23.85+0.56</f>
        <v>24.41</v>
      </c>
      <c r="D2155" s="8">
        <f>C2155/356.2/12*1000</f>
        <v>5.710743028261277</v>
      </c>
      <c r="E2155" s="1"/>
      <c r="F2155" s="1"/>
      <c r="G2155" s="1"/>
      <c r="H2155" s="1"/>
    </row>
    <row r="2156" spans="2:8" ht="12.75">
      <c r="B2156" s="10" t="s">
        <v>19</v>
      </c>
      <c r="C2156" s="22">
        <f>SUM(C2157:C2161)</f>
        <v>1.6500000000000001</v>
      </c>
      <c r="D2156" s="22">
        <f>SUM(D2157:D2161)</f>
        <v>0.38601909039865245</v>
      </c>
      <c r="E2156" s="1"/>
      <c r="F2156" s="1"/>
      <c r="G2156" s="1"/>
      <c r="H2156" s="1"/>
    </row>
    <row r="2157" spans="2:8" ht="12.75">
      <c r="B2157" s="6" t="s">
        <v>45</v>
      </c>
      <c r="C2157" s="8">
        <v>0</v>
      </c>
      <c r="D2157" s="8">
        <f>C2157/356.2/12*1000</f>
        <v>0</v>
      </c>
      <c r="E2157" s="1"/>
      <c r="F2157" s="1"/>
      <c r="G2157" s="1"/>
      <c r="H2157" s="1"/>
    </row>
    <row r="2158" spans="2:8" ht="12.75">
      <c r="B2158" s="6" t="s">
        <v>46</v>
      </c>
      <c r="C2158" s="8">
        <v>0</v>
      </c>
      <c r="D2158" s="8">
        <f>C2158/356.2/12*1000</f>
        <v>0</v>
      </c>
      <c r="E2158" s="1"/>
      <c r="F2158" s="1"/>
      <c r="G2158" s="1"/>
      <c r="H2158" s="1"/>
    </row>
    <row r="2159" spans="2:8" ht="12.75">
      <c r="B2159" s="20" t="s">
        <v>47</v>
      </c>
      <c r="C2159" s="8">
        <v>0</v>
      </c>
      <c r="D2159" s="8">
        <f>C2159/356.2/12*1000</f>
        <v>0</v>
      </c>
      <c r="E2159" s="1"/>
      <c r="F2159" s="1"/>
      <c r="G2159" s="1"/>
      <c r="H2159" s="1"/>
    </row>
    <row r="2160" spans="2:8" ht="12.75">
      <c r="B2160" s="8" t="s">
        <v>48</v>
      </c>
      <c r="C2160" s="8">
        <v>1.33</v>
      </c>
      <c r="D2160" s="8">
        <f>C2160/356.2/12*1000</f>
        <v>0.3111547819577017</v>
      </c>
      <c r="E2160" s="1"/>
      <c r="F2160" s="1"/>
      <c r="G2160" s="1"/>
      <c r="H2160" s="1"/>
    </row>
    <row r="2161" spans="2:8" ht="12.75">
      <c r="B2161" s="8" t="s">
        <v>50</v>
      </c>
      <c r="C2161" s="8">
        <v>0.32</v>
      </c>
      <c r="D2161" s="8">
        <f>C2161/356.2/12*1000</f>
        <v>0.07486430844095078</v>
      </c>
      <c r="E2161" s="1"/>
      <c r="F2161" s="1"/>
      <c r="G2161" s="1"/>
      <c r="H2161" s="1"/>
    </row>
    <row r="2162" spans="2:8" ht="12.75">
      <c r="B2162" s="14" t="s">
        <v>27</v>
      </c>
      <c r="C2162" s="14">
        <f>5.31+0.83</f>
        <v>6.14</v>
      </c>
      <c r="D2162" s="14">
        <f>C2162/356.2/12*1000</f>
        <v>1.4364589182107432</v>
      </c>
      <c r="E2162" s="1"/>
      <c r="F2162" s="1"/>
      <c r="G2162" s="1"/>
      <c r="H2162" s="1"/>
    </row>
    <row r="2163" spans="2:8" ht="12.75">
      <c r="B2163" s="14"/>
      <c r="C2163" s="14"/>
      <c r="D2163" s="8"/>
      <c r="E2163" s="1"/>
      <c r="F2163" s="1"/>
      <c r="G2163" s="1"/>
      <c r="H2163" s="1"/>
    </row>
    <row r="2164" spans="2:8" ht="12.75">
      <c r="B2164" s="14" t="s">
        <v>29</v>
      </c>
      <c r="C2164" s="23">
        <f>C2151+C2152+C2156+C2162+C2163</f>
        <v>49.2</v>
      </c>
      <c r="D2164" s="23">
        <f>D2151+D2152+D2156+D2162+D2163</f>
        <v>11.510387422796184</v>
      </c>
      <c r="E2164" s="1"/>
      <c r="F2164" s="1"/>
      <c r="G2164" s="1"/>
      <c r="H2164" s="1"/>
    </row>
    <row r="2165" spans="2:8" ht="12.75">
      <c r="B2165" s="8" t="s">
        <v>51</v>
      </c>
      <c r="C2165" s="8">
        <v>4.92</v>
      </c>
      <c r="D2165" s="8">
        <f>C2165/356.2/12*1000</f>
        <v>1.1510387422796182</v>
      </c>
      <c r="E2165" s="1"/>
      <c r="F2165" s="1"/>
      <c r="G2165" s="1"/>
      <c r="H2165" s="1"/>
    </row>
    <row r="2166" spans="2:8" ht="12.75">
      <c r="B2166" s="14" t="s">
        <v>31</v>
      </c>
      <c r="C2166" s="23">
        <f>C2164+C2165</f>
        <v>54.120000000000005</v>
      </c>
      <c r="D2166" s="23">
        <f>D2164+D2165</f>
        <v>12.661426165075802</v>
      </c>
      <c r="E2166" s="1"/>
      <c r="F2166" s="1"/>
      <c r="G2166" s="1"/>
      <c r="H2166" s="1"/>
    </row>
    <row r="2167" spans="2:8" ht="12.75">
      <c r="B2167" s="6" t="s">
        <v>34</v>
      </c>
      <c r="C2167" s="23">
        <f>C2166/C2150/12*1000</f>
        <v>12.661426165075802</v>
      </c>
      <c r="D2167" s="8"/>
      <c r="E2167" s="1"/>
      <c r="F2167" s="1"/>
      <c r="G2167" s="1"/>
      <c r="H2167" s="1"/>
    </row>
    <row r="2168" spans="2:8" ht="12.75">
      <c r="B2168" s="1"/>
      <c r="C2168" s="1"/>
      <c r="D2168" s="1"/>
      <c r="E2168" s="1"/>
      <c r="F2168" s="1"/>
      <c r="G2168" s="1"/>
      <c r="H2168" s="1"/>
    </row>
    <row r="2169" spans="2:8" ht="12.75">
      <c r="B2169" s="1" t="s">
        <v>52</v>
      </c>
      <c r="C2169" s="1"/>
      <c r="D2169" s="1"/>
      <c r="E2169" s="1"/>
      <c r="F2169" s="1"/>
      <c r="G2169" s="1"/>
      <c r="H2169" s="1"/>
    </row>
    <row r="2170" spans="2:8" ht="12.75">
      <c r="B2170" s="1"/>
      <c r="C2170" s="1"/>
      <c r="D2170" s="1"/>
      <c r="E2170" s="1"/>
      <c r="F2170" s="1"/>
      <c r="G2170" s="1"/>
      <c r="H2170" s="1"/>
    </row>
    <row r="2171" spans="2:8" ht="12.75">
      <c r="B2171" s="2" t="s">
        <v>0</v>
      </c>
      <c r="C2171" s="2"/>
      <c r="D2171" s="2"/>
      <c r="E2171" s="1"/>
      <c r="F2171" s="1"/>
      <c r="G2171" s="1"/>
      <c r="H2171" s="1"/>
    </row>
    <row r="2172" spans="2:8" ht="12.75">
      <c r="B2172" s="2" t="s">
        <v>65</v>
      </c>
      <c r="C2172" s="2"/>
      <c r="D2172" s="2"/>
      <c r="E2172" s="1"/>
      <c r="F2172" s="1"/>
      <c r="G2172" s="1"/>
      <c r="H2172" s="1"/>
    </row>
    <row r="2173" spans="2:8" ht="12.75">
      <c r="B2173" s="2" t="s">
        <v>149</v>
      </c>
      <c r="C2173" s="2"/>
      <c r="D2173" s="2"/>
      <c r="E2173" s="1"/>
      <c r="F2173" s="1"/>
      <c r="G2173" s="1"/>
      <c r="H2173" s="1"/>
    </row>
    <row r="2174" spans="2:8" ht="12.75">
      <c r="B2174" s="3"/>
      <c r="C2174" s="3"/>
      <c r="D2174" s="1"/>
      <c r="E2174" s="1"/>
      <c r="F2174" s="1"/>
      <c r="G2174" s="1"/>
      <c r="H2174" s="1"/>
    </row>
    <row r="2175" spans="2:8" ht="12.75">
      <c r="B2175" s="5" t="s">
        <v>4</v>
      </c>
      <c r="C2175" s="31" t="s">
        <v>40</v>
      </c>
      <c r="D2175" s="6" t="s">
        <v>41</v>
      </c>
      <c r="E2175" s="1"/>
      <c r="F2175" s="1"/>
      <c r="G2175" s="1"/>
      <c r="H2175" s="1"/>
    </row>
    <row r="2176" spans="2:8" ht="12.75">
      <c r="B2176" s="6"/>
      <c r="C2176" s="6"/>
      <c r="D2176" s="7"/>
      <c r="E2176" s="1"/>
      <c r="F2176" s="1"/>
      <c r="G2176" s="1"/>
      <c r="H2176" s="1"/>
    </row>
    <row r="2177" spans="2:8" ht="12.75">
      <c r="B2177" s="10" t="s">
        <v>42</v>
      </c>
      <c r="C2177" s="8">
        <v>2712.7</v>
      </c>
      <c r="D2177" s="8"/>
      <c r="E2177" s="1"/>
      <c r="F2177" s="1"/>
      <c r="G2177" s="1"/>
      <c r="H2177" s="1"/>
    </row>
    <row r="2178" spans="2:8" ht="12.75">
      <c r="B2178" s="11" t="s">
        <v>13</v>
      </c>
      <c r="C2178" s="32">
        <v>55.64</v>
      </c>
      <c r="D2178" s="14">
        <f>C2178/2712.7/12*1000</f>
        <v>1.7092441724726903</v>
      </c>
      <c r="E2178" s="1"/>
      <c r="F2178" s="1"/>
      <c r="G2178" s="1"/>
      <c r="H2178" s="1"/>
    </row>
    <row r="2179" spans="2:8" ht="12.75">
      <c r="B2179" s="15" t="s">
        <v>14</v>
      </c>
      <c r="C2179" s="9">
        <f>SUM(C2180:C2182)</f>
        <v>151.3</v>
      </c>
      <c r="D2179" s="9">
        <f>SUM(D2180:D2182)</f>
        <v>4.647890785318441</v>
      </c>
      <c r="E2179" s="1"/>
      <c r="F2179" s="1"/>
      <c r="G2179" s="1"/>
      <c r="H2179" s="1"/>
    </row>
    <row r="2180" spans="2:8" ht="12.75">
      <c r="B2180" s="6" t="s">
        <v>43</v>
      </c>
      <c r="C2180" s="8">
        <f>21.16+28.64</f>
        <v>49.8</v>
      </c>
      <c r="D2180" s="8">
        <f>C2180/2712.7/12*1000</f>
        <v>1.529841117705607</v>
      </c>
      <c r="E2180" s="1"/>
      <c r="F2180" s="1"/>
      <c r="G2180" s="1"/>
      <c r="H2180" s="1"/>
    </row>
    <row r="2181" spans="2:8" ht="12.75">
      <c r="B2181" s="17" t="s">
        <v>44</v>
      </c>
      <c r="C2181" s="8">
        <v>23.96</v>
      </c>
      <c r="D2181" s="8">
        <f>C2181/2712.7/12*1000</f>
        <v>0.7360440397635812</v>
      </c>
      <c r="E2181" s="1"/>
      <c r="F2181" s="1"/>
      <c r="G2181" s="1"/>
      <c r="H2181" s="1"/>
    </row>
    <row r="2182" spans="2:8" ht="12.75">
      <c r="B2182" s="6" t="s">
        <v>16</v>
      </c>
      <c r="C2182" s="8">
        <v>77.54</v>
      </c>
      <c r="D2182" s="8">
        <f>C2182/2712.7/12*1000</f>
        <v>2.3820056278492525</v>
      </c>
      <c r="E2182" s="1"/>
      <c r="F2182" s="1"/>
      <c r="G2182" s="1"/>
      <c r="H2182" s="1"/>
    </row>
    <row r="2183" spans="2:8" ht="12.75">
      <c r="B2183" s="10" t="s">
        <v>19</v>
      </c>
      <c r="C2183" s="22">
        <f>SUM(C2184:C2188)</f>
        <v>120.91000000000001</v>
      </c>
      <c r="D2183" s="22">
        <f>SUM(D2184:D2188)</f>
        <v>3.7143190671041153</v>
      </c>
      <c r="E2183" s="1"/>
      <c r="F2183" s="1"/>
      <c r="G2183" s="1"/>
      <c r="H2183" s="1"/>
    </row>
    <row r="2184" spans="2:8" ht="12.75">
      <c r="B2184" s="6" t="s">
        <v>45</v>
      </c>
      <c r="C2184" s="8">
        <f>83.93+16.95+8.49</f>
        <v>109.37</v>
      </c>
      <c r="D2184" s="8">
        <f>C2184/2712.7/12*1000</f>
        <v>3.3598137157321735</v>
      </c>
      <c r="E2184" s="1"/>
      <c r="F2184" s="1"/>
      <c r="G2184" s="1"/>
      <c r="H2184" s="1"/>
    </row>
    <row r="2185" spans="2:8" ht="12.75">
      <c r="B2185" s="6" t="s">
        <v>46</v>
      </c>
      <c r="C2185" s="8">
        <v>0</v>
      </c>
      <c r="D2185" s="8">
        <f>C2185/2712.7/12*1000</f>
        <v>0</v>
      </c>
      <c r="E2185" s="1"/>
      <c r="F2185" s="1"/>
      <c r="G2185" s="1"/>
      <c r="H2185" s="1"/>
    </row>
    <row r="2186" spans="2:8" ht="12.75">
      <c r="B2186" s="20" t="s">
        <v>47</v>
      </c>
      <c r="C2186" s="8">
        <v>1.77</v>
      </c>
      <c r="D2186" s="8">
        <f>C2186/2712.7/12*1000</f>
        <v>0.054373871050982424</v>
      </c>
      <c r="E2186" s="1"/>
      <c r="F2186" s="1"/>
      <c r="G2186" s="1"/>
      <c r="H2186" s="1"/>
    </row>
    <row r="2187" spans="2:8" ht="12.75">
      <c r="B2187" s="8" t="s">
        <v>48</v>
      </c>
      <c r="C2187" s="8">
        <v>7.7</v>
      </c>
      <c r="D2187" s="8">
        <f>C2187/2712.7/12*1000</f>
        <v>0.2365416989223529</v>
      </c>
      <c r="E2187" s="1"/>
      <c r="F2187" s="1"/>
      <c r="G2187" s="1"/>
      <c r="H2187" s="1"/>
    </row>
    <row r="2188" spans="2:8" ht="12.75">
      <c r="B2188" s="8" t="s">
        <v>50</v>
      </c>
      <c r="C2188" s="8">
        <v>2.07</v>
      </c>
      <c r="D2188" s="8">
        <f>C2188/2712.7/12*1000</f>
        <v>0.06358978139860655</v>
      </c>
      <c r="E2188" s="1"/>
      <c r="F2188" s="1"/>
      <c r="G2188" s="1"/>
      <c r="H2188" s="1"/>
    </row>
    <row r="2189" spans="2:8" ht="12.75">
      <c r="B2189" s="14" t="s">
        <v>27</v>
      </c>
      <c r="C2189" s="14">
        <f>40.47+6.33</f>
        <v>46.8</v>
      </c>
      <c r="D2189" s="14">
        <f>C2189/2712.7/12*1000</f>
        <v>1.4376820142293658</v>
      </c>
      <c r="E2189" s="1"/>
      <c r="F2189" s="1"/>
      <c r="G2189" s="1"/>
      <c r="H2189" s="1"/>
    </row>
    <row r="2190" spans="2:8" ht="12.75">
      <c r="B2190" s="14"/>
      <c r="C2190" s="14"/>
      <c r="D2190" s="8"/>
      <c r="E2190" s="1"/>
      <c r="F2190" s="1"/>
      <c r="G2190" s="1"/>
      <c r="H2190" s="1"/>
    </row>
    <row r="2191" spans="2:8" ht="12.75">
      <c r="B2191" s="14" t="s">
        <v>29</v>
      </c>
      <c r="C2191" s="23">
        <f>C2178+C2179+C2183+C2189+C2190</f>
        <v>374.65000000000003</v>
      </c>
      <c r="D2191" s="23">
        <f>D2178+D2179+D2183+D2189+D2190</f>
        <v>11.509136039124613</v>
      </c>
      <c r="E2191" s="1"/>
      <c r="F2191" s="1"/>
      <c r="G2191" s="1"/>
      <c r="H2191" s="1"/>
    </row>
    <row r="2192" spans="2:8" ht="12.75">
      <c r="B2192" s="8" t="s">
        <v>51</v>
      </c>
      <c r="C2192" s="8">
        <v>37.47</v>
      </c>
      <c r="D2192" s="8">
        <f>C2192/2712.7/12*1000</f>
        <v>1.1510672024182549</v>
      </c>
      <c r="E2192" s="1"/>
      <c r="F2192" s="1"/>
      <c r="G2192" s="1"/>
      <c r="H2192" s="1"/>
    </row>
    <row r="2193" spans="2:8" ht="12.75">
      <c r="B2193" s="14" t="s">
        <v>31</v>
      </c>
      <c r="C2193" s="23">
        <f>C2191+C2192</f>
        <v>412.12</v>
      </c>
      <c r="D2193" s="23">
        <f>D2191+D2192</f>
        <v>12.660203241542867</v>
      </c>
      <c r="E2193" s="1"/>
      <c r="F2193" s="1"/>
      <c r="G2193" s="1"/>
      <c r="H2193" s="1"/>
    </row>
    <row r="2194" spans="2:8" ht="12.75">
      <c r="B2194" s="6" t="s">
        <v>34</v>
      </c>
      <c r="C2194" s="23">
        <f>C2193/C2177/12*1000</f>
        <v>12.660203241542865</v>
      </c>
      <c r="D2194" s="8"/>
      <c r="E2194" s="1"/>
      <c r="F2194" s="1"/>
      <c r="G2194" s="1"/>
      <c r="H2194" s="1"/>
    </row>
    <row r="2195" spans="2:8" ht="12.75">
      <c r="B2195" s="1"/>
      <c r="C2195" s="1"/>
      <c r="D2195" s="1"/>
      <c r="E2195" s="1"/>
      <c r="F2195" s="1"/>
      <c r="G2195" s="1"/>
      <c r="H2195" s="1"/>
    </row>
    <row r="2196" spans="2:8" ht="12.75">
      <c r="B2196" s="1" t="s">
        <v>52</v>
      </c>
      <c r="C2196" s="1"/>
      <c r="D2196" s="1"/>
      <c r="E2196" s="1"/>
      <c r="F2196" s="1"/>
      <c r="G2196" s="1"/>
      <c r="H2196" s="1"/>
    </row>
    <row r="2197" spans="2:8" ht="12.75">
      <c r="B2197" s="1"/>
      <c r="C2197" s="1"/>
      <c r="D2197" s="1"/>
      <c r="E2197" s="1"/>
      <c r="F2197" s="1"/>
      <c r="G2197" s="1"/>
      <c r="H2197" s="1"/>
    </row>
    <row r="2198" spans="2:8" ht="12.75">
      <c r="B2198" s="2" t="s">
        <v>0</v>
      </c>
      <c r="C2198" s="2"/>
      <c r="D2198" s="2"/>
      <c r="E2198" s="1"/>
      <c r="F2198" s="1"/>
      <c r="G2198" s="1"/>
      <c r="H2198" s="1"/>
    </row>
    <row r="2199" spans="2:8" ht="12.75">
      <c r="B2199" s="2" t="s">
        <v>65</v>
      </c>
      <c r="C2199" s="2"/>
      <c r="D2199" s="2"/>
      <c r="E2199" s="1"/>
      <c r="F2199" s="1"/>
      <c r="G2199" s="1"/>
      <c r="H2199" s="1"/>
    </row>
    <row r="2200" spans="2:8" ht="12.75">
      <c r="B2200" s="2" t="s">
        <v>150</v>
      </c>
      <c r="C2200" s="2"/>
      <c r="D2200" s="2"/>
      <c r="E2200" s="1"/>
      <c r="F2200" s="1"/>
      <c r="G2200" s="1"/>
      <c r="H2200" s="1"/>
    </row>
    <row r="2201" spans="2:8" ht="12.75">
      <c r="B2201" s="3"/>
      <c r="C2201" s="3"/>
      <c r="D2201" s="1"/>
      <c r="E2201" s="1"/>
      <c r="F2201" s="1"/>
      <c r="G2201" s="1"/>
      <c r="H2201" s="1"/>
    </row>
    <row r="2202" spans="2:8" ht="12.75">
      <c r="B2202" s="5" t="s">
        <v>4</v>
      </c>
      <c r="C2202" s="31" t="s">
        <v>40</v>
      </c>
      <c r="D2202" s="6" t="s">
        <v>41</v>
      </c>
      <c r="E2202" s="1"/>
      <c r="F2202" s="1"/>
      <c r="G2202" s="1"/>
      <c r="H2202" s="1"/>
    </row>
    <row r="2203" spans="2:8" ht="12.75">
      <c r="B2203" s="6"/>
      <c r="C2203" s="6"/>
      <c r="D2203" s="7"/>
      <c r="E2203" s="1"/>
      <c r="F2203" s="1"/>
      <c r="G2203" s="1"/>
      <c r="H2203" s="1"/>
    </row>
    <row r="2204" spans="2:8" ht="12.75">
      <c r="B2204" s="10" t="s">
        <v>42</v>
      </c>
      <c r="C2204" s="8">
        <v>2680.8</v>
      </c>
      <c r="D2204" s="8"/>
      <c r="E2204" s="1"/>
      <c r="F2204" s="1"/>
      <c r="G2204" s="1"/>
      <c r="H2204" s="1"/>
    </row>
    <row r="2205" spans="2:8" ht="12.75">
      <c r="B2205" s="11" t="s">
        <v>13</v>
      </c>
      <c r="C2205" s="32">
        <v>54.98</v>
      </c>
      <c r="D2205" s="14">
        <f>C2205/2680.8/12*1000</f>
        <v>1.7090669451904903</v>
      </c>
      <c r="E2205" s="1"/>
      <c r="F2205" s="1"/>
      <c r="G2205" s="1"/>
      <c r="H2205" s="1"/>
    </row>
    <row r="2206" spans="2:8" ht="12.75">
      <c r="B2206" s="15" t="s">
        <v>14</v>
      </c>
      <c r="C2206" s="9">
        <f>SUM(C2207:C2209)</f>
        <v>150.54</v>
      </c>
      <c r="D2206" s="9">
        <f>SUM(D2207:D2209)</f>
        <v>4.679573261712921</v>
      </c>
      <c r="E2206" s="1"/>
      <c r="F2206" s="1"/>
      <c r="G2206" s="1"/>
      <c r="H2206" s="1"/>
    </row>
    <row r="2207" spans="2:8" ht="12.75">
      <c r="B2207" s="6" t="s">
        <v>43</v>
      </c>
      <c r="C2207" s="8">
        <f>20.91+28.31</f>
        <v>49.22</v>
      </c>
      <c r="D2207" s="8">
        <f>C2207/2680.8/12*1000</f>
        <v>1.5300159156470703</v>
      </c>
      <c r="E2207" s="1"/>
      <c r="F2207" s="1"/>
      <c r="G2207" s="1"/>
      <c r="H2207" s="1"/>
    </row>
    <row r="2208" spans="2:8" ht="12.75">
      <c r="B2208" s="17" t="s">
        <v>44</v>
      </c>
      <c r="C2208" s="8">
        <v>23.68</v>
      </c>
      <c r="D2208" s="8">
        <f>C2208/2680.8/12*1000</f>
        <v>0.7360986770118373</v>
      </c>
      <c r="E2208" s="1"/>
      <c r="F2208" s="1"/>
      <c r="G2208" s="1"/>
      <c r="H2208" s="1"/>
    </row>
    <row r="2209" spans="2:8" ht="12.75">
      <c r="B2209" s="6" t="s">
        <v>16</v>
      </c>
      <c r="C2209" s="8">
        <v>77.64</v>
      </c>
      <c r="D2209" s="8">
        <f>C2209/2680.8/12*1000</f>
        <v>2.4134586690540134</v>
      </c>
      <c r="E2209" s="1"/>
      <c r="F2209" s="1"/>
      <c r="G2209" s="1"/>
      <c r="H2209" s="1"/>
    </row>
    <row r="2210" spans="2:8" ht="12.75">
      <c r="B2210" s="10" t="s">
        <v>19</v>
      </c>
      <c r="C2210" s="22">
        <f>SUM(C2211:C2215)</f>
        <v>118.47</v>
      </c>
      <c r="D2210" s="22">
        <f>SUM(D2211:D2215)</f>
        <v>3.6826693524321095</v>
      </c>
      <c r="E2210" s="1"/>
      <c r="F2210" s="1"/>
      <c r="G2210" s="1"/>
      <c r="H2210" s="1"/>
    </row>
    <row r="2211" spans="2:8" ht="12.75">
      <c r="B2211" s="6" t="s">
        <v>45</v>
      </c>
      <c r="C2211" s="8">
        <f>82.91+16.75+8.39</f>
        <v>108.05</v>
      </c>
      <c r="D2211" s="8">
        <f>C2211/2680.8/12*1000</f>
        <v>3.3587610663483534</v>
      </c>
      <c r="E2211" s="1"/>
      <c r="F2211" s="1"/>
      <c r="G2211" s="1"/>
      <c r="H2211" s="1"/>
    </row>
    <row r="2212" spans="2:8" ht="12.75">
      <c r="B2212" s="6" t="s">
        <v>46</v>
      </c>
      <c r="C2212" s="8">
        <v>0</v>
      </c>
      <c r="D2212" s="8">
        <f>C2212/2680.8/12*1000</f>
        <v>0</v>
      </c>
      <c r="E2212" s="1"/>
      <c r="F2212" s="1"/>
      <c r="G2212" s="1"/>
      <c r="H2212" s="1"/>
    </row>
    <row r="2213" spans="2:8" ht="12.75">
      <c r="B2213" s="20" t="s">
        <v>47</v>
      </c>
      <c r="C2213" s="8">
        <v>1.77</v>
      </c>
      <c r="D2213" s="8">
        <f>C2213/2680.8/12*1000</f>
        <v>0.05502088928678006</v>
      </c>
      <c r="E2213" s="1"/>
      <c r="F2213" s="1"/>
      <c r="G2213" s="1"/>
      <c r="H2213" s="1"/>
    </row>
    <row r="2214" spans="2:8" ht="12.75">
      <c r="B2214" s="8" t="s">
        <v>48</v>
      </c>
      <c r="C2214" s="8">
        <v>6.64</v>
      </c>
      <c r="D2214" s="8">
        <f>C2214/2680.8/12*1000</f>
        <v>0.20640604794588677</v>
      </c>
      <c r="E2214" s="1"/>
      <c r="F2214" s="1"/>
      <c r="G2214" s="1"/>
      <c r="H2214" s="1"/>
    </row>
    <row r="2215" spans="2:8" ht="12.75">
      <c r="B2215" s="8" t="s">
        <v>50</v>
      </c>
      <c r="C2215" s="8">
        <v>2.01</v>
      </c>
      <c r="D2215" s="8">
        <f>C2215/2680.8/12*1000</f>
        <v>0.062481348851089226</v>
      </c>
      <c r="E2215" s="1"/>
      <c r="F2215" s="1"/>
      <c r="G2215" s="1"/>
      <c r="H2215" s="1"/>
    </row>
    <row r="2216" spans="2:8" ht="12.75">
      <c r="B2216" s="14" t="s">
        <v>27</v>
      </c>
      <c r="C2216" s="14">
        <f>40+6.25</f>
        <v>46.25</v>
      </c>
      <c r="D2216" s="14">
        <f>C2216/2680.8/12*1000</f>
        <v>1.4376927285387446</v>
      </c>
      <c r="E2216" s="1"/>
      <c r="F2216" s="1"/>
      <c r="G2216" s="1"/>
      <c r="H2216" s="1"/>
    </row>
    <row r="2217" spans="2:8" ht="12.75">
      <c r="B2217" s="14"/>
      <c r="C2217" s="14"/>
      <c r="D2217" s="8"/>
      <c r="E2217" s="1"/>
      <c r="F2217" s="1"/>
      <c r="G2217" s="1"/>
      <c r="H2217" s="1"/>
    </row>
    <row r="2218" spans="2:8" ht="12.75">
      <c r="B2218" s="14" t="s">
        <v>29</v>
      </c>
      <c r="C2218" s="23">
        <f>C2205+C2206+C2210+C2216+C2217</f>
        <v>370.24</v>
      </c>
      <c r="D2218" s="23">
        <f>D2205+D2206+D2210+D2216+D2217</f>
        <v>11.509002287874265</v>
      </c>
      <c r="E2218" s="1"/>
      <c r="F2218" s="1"/>
      <c r="G2218" s="1"/>
      <c r="H2218" s="1"/>
    </row>
    <row r="2219" spans="2:8" ht="12.75">
      <c r="B2219" s="8" t="s">
        <v>51</v>
      </c>
      <c r="C2219" s="8">
        <v>37.02</v>
      </c>
      <c r="D2219" s="8">
        <f>C2219/2680.8/12*1000</f>
        <v>1.150775887794688</v>
      </c>
      <c r="E2219" s="1"/>
      <c r="F2219" s="1"/>
      <c r="G2219" s="1"/>
      <c r="H2219" s="1"/>
    </row>
    <row r="2220" spans="2:8" ht="12.75">
      <c r="B2220" s="14" t="s">
        <v>31</v>
      </c>
      <c r="C2220" s="23">
        <f>C2218+C2219</f>
        <v>407.26</v>
      </c>
      <c r="D2220" s="23">
        <f>D2218+D2219</f>
        <v>12.659778175668954</v>
      </c>
      <c r="E2220" s="1"/>
      <c r="F2220" s="1"/>
      <c r="G2220" s="1"/>
      <c r="H2220" s="1"/>
    </row>
    <row r="2221" spans="2:8" ht="12.75">
      <c r="B2221" s="6" t="s">
        <v>34</v>
      </c>
      <c r="C2221" s="23">
        <f>C2220/C2204/12*1000</f>
        <v>12.659778175668952</v>
      </c>
      <c r="D2221" s="8"/>
      <c r="E2221" s="1"/>
      <c r="F2221" s="1"/>
      <c r="G2221" s="1"/>
      <c r="H2221" s="1"/>
    </row>
    <row r="2222" spans="2:8" ht="12.75">
      <c r="B2222" s="1"/>
      <c r="C2222" s="1"/>
      <c r="D2222" s="1"/>
      <c r="E2222" s="1"/>
      <c r="F2222" s="1"/>
      <c r="G2222" s="1"/>
      <c r="H2222" s="1"/>
    </row>
    <row r="2223" spans="2:8" ht="12.75">
      <c r="B2223" s="1" t="s">
        <v>52</v>
      </c>
      <c r="C2223" s="1"/>
      <c r="D2223" s="1"/>
      <c r="E2223" s="1"/>
      <c r="F2223" s="1"/>
      <c r="G2223" s="1"/>
      <c r="H2223" s="1"/>
    </row>
    <row r="2224" spans="2:8" ht="12.75">
      <c r="B2224" s="1"/>
      <c r="C2224" s="1"/>
      <c r="D2224" s="1"/>
      <c r="E2224" s="1"/>
      <c r="F2224" s="1"/>
      <c r="G2224" s="1"/>
      <c r="H2224" s="1"/>
    </row>
    <row r="2225" spans="2:8" ht="12.75">
      <c r="B2225" s="2" t="s">
        <v>0</v>
      </c>
      <c r="C2225" s="2"/>
      <c r="D2225" s="2"/>
      <c r="E2225" s="1"/>
      <c r="F2225" s="1"/>
      <c r="G2225" s="1"/>
      <c r="H2225" s="1"/>
    </row>
    <row r="2226" spans="2:8" ht="12.75">
      <c r="B2226" s="2" t="s">
        <v>65</v>
      </c>
      <c r="C2226" s="2"/>
      <c r="D2226" s="2"/>
      <c r="E2226" s="1"/>
      <c r="F2226" s="1"/>
      <c r="G2226" s="1"/>
      <c r="H2226" s="1"/>
    </row>
    <row r="2227" spans="2:8" ht="12.75">
      <c r="B2227" s="2" t="s">
        <v>151</v>
      </c>
      <c r="C2227" s="2"/>
      <c r="D2227" s="2"/>
      <c r="E2227" s="1"/>
      <c r="F2227" s="1"/>
      <c r="G2227" s="1"/>
      <c r="H2227" s="1"/>
    </row>
    <row r="2228" spans="2:8" ht="12.75">
      <c r="B2228" s="3"/>
      <c r="C2228" s="3"/>
      <c r="D2228" s="1"/>
      <c r="E2228" s="1"/>
      <c r="F2228" s="1"/>
      <c r="G2228" s="1"/>
      <c r="H2228" s="1"/>
    </row>
    <row r="2229" spans="2:8" ht="12.75">
      <c r="B2229" s="5" t="s">
        <v>4</v>
      </c>
      <c r="C2229" s="31" t="s">
        <v>40</v>
      </c>
      <c r="D2229" s="6" t="s">
        <v>41</v>
      </c>
      <c r="E2229" s="1"/>
      <c r="F2229" s="1"/>
      <c r="G2229" s="1"/>
      <c r="H2229" s="1"/>
    </row>
    <row r="2230" spans="2:8" ht="12.75">
      <c r="B2230" s="6"/>
      <c r="C2230" s="6"/>
      <c r="D2230" s="7"/>
      <c r="E2230" s="1"/>
      <c r="F2230" s="1"/>
      <c r="G2230" s="1"/>
      <c r="H2230" s="1"/>
    </row>
    <row r="2231" spans="2:8" ht="12.75">
      <c r="B2231" s="10" t="s">
        <v>42</v>
      </c>
      <c r="C2231" s="8">
        <v>1445.8</v>
      </c>
      <c r="D2231" s="8"/>
      <c r="E2231" s="1"/>
      <c r="F2231" s="1"/>
      <c r="G2231" s="1"/>
      <c r="H2231" s="1"/>
    </row>
    <row r="2232" spans="2:8" ht="12.75">
      <c r="B2232" s="11" t="s">
        <v>13</v>
      </c>
      <c r="C2232" s="32">
        <v>29.65</v>
      </c>
      <c r="D2232" s="14">
        <f>C2232/1445.8/12*1000</f>
        <v>1.708973117535851</v>
      </c>
      <c r="E2232" s="1"/>
      <c r="F2232" s="1"/>
      <c r="G2232" s="1"/>
      <c r="H2232" s="1"/>
    </row>
    <row r="2233" spans="2:8" ht="12.75">
      <c r="B2233" s="15" t="s">
        <v>14</v>
      </c>
      <c r="C2233" s="9">
        <f>SUM(C2234:C2236)</f>
        <v>73.50999999999999</v>
      </c>
      <c r="D2233" s="9">
        <f>SUM(D2234:D2236)</f>
        <v>4.236985290727164</v>
      </c>
      <c r="E2233" s="1"/>
      <c r="F2233" s="1"/>
      <c r="G2233" s="1"/>
      <c r="H2233" s="1"/>
    </row>
    <row r="2234" spans="2:8" ht="12.75">
      <c r="B2234" s="6" t="s">
        <v>43</v>
      </c>
      <c r="C2234" s="8">
        <f>11.28+15.27</f>
        <v>26.549999999999997</v>
      </c>
      <c r="D2234" s="8">
        <f>C2234/1445.8/12*1000</f>
        <v>1.5302946465624567</v>
      </c>
      <c r="E2234" s="1"/>
      <c r="F2234" s="1"/>
      <c r="G2234" s="1"/>
      <c r="H2234" s="1"/>
    </row>
    <row r="2235" spans="2:8" ht="12.75">
      <c r="B2235" s="17" t="s">
        <v>44</v>
      </c>
      <c r="C2235" s="8">
        <v>12.77</v>
      </c>
      <c r="D2235" s="8">
        <f>C2235/1445.8/12*1000</f>
        <v>0.7360400239774981</v>
      </c>
      <c r="E2235" s="1"/>
      <c r="F2235" s="1"/>
      <c r="G2235" s="1"/>
      <c r="H2235" s="1"/>
    </row>
    <row r="2236" spans="2:8" ht="12.75">
      <c r="B2236" s="6" t="s">
        <v>16</v>
      </c>
      <c r="C2236" s="8">
        <v>34.19</v>
      </c>
      <c r="D2236" s="8">
        <f>C2236/1445.8/12*1000</f>
        <v>1.970650620187209</v>
      </c>
      <c r="E2236" s="1"/>
      <c r="F2236" s="1"/>
      <c r="G2236" s="1"/>
      <c r="H2236" s="1"/>
    </row>
    <row r="2237" spans="2:8" ht="12.75">
      <c r="B2237" s="10" t="s">
        <v>19</v>
      </c>
      <c r="C2237" s="22">
        <f>SUM(C2238:C2242)</f>
        <v>71.57</v>
      </c>
      <c r="D2237" s="22">
        <f>SUM(D2238:D2242)</f>
        <v>4.125167150827685</v>
      </c>
      <c r="E2237" s="1"/>
      <c r="F2237" s="1"/>
      <c r="G2237" s="1"/>
      <c r="H2237" s="1"/>
    </row>
    <row r="2238" spans="2:8" ht="12.75">
      <c r="B2238" s="6" t="s">
        <v>45</v>
      </c>
      <c r="C2238" s="8">
        <f>51.03+10.31+5.16</f>
        <v>66.5</v>
      </c>
      <c r="D2238" s="8">
        <f>C2238/1445.8/12*1000</f>
        <v>3.832941393461521</v>
      </c>
      <c r="E2238" s="1"/>
      <c r="F2238" s="1"/>
      <c r="G2238" s="1"/>
      <c r="H2238" s="1"/>
    </row>
    <row r="2239" spans="2:8" ht="12.75">
      <c r="B2239" s="6" t="s">
        <v>46</v>
      </c>
      <c r="C2239" s="8"/>
      <c r="D2239" s="8">
        <f>C2239/1445.8/12*1000</f>
        <v>0</v>
      </c>
      <c r="E2239" s="1"/>
      <c r="F2239" s="1"/>
      <c r="G2239" s="1"/>
      <c r="H2239" s="1"/>
    </row>
    <row r="2240" spans="2:8" ht="12.75">
      <c r="B2240" s="20" t="s">
        <v>47</v>
      </c>
      <c r="C2240" s="8">
        <v>0.68</v>
      </c>
      <c r="D2240" s="8">
        <f>C2240/1445.8/12*1000</f>
        <v>0.039193987181260666</v>
      </c>
      <c r="E2240" s="1"/>
      <c r="F2240" s="1"/>
      <c r="G2240" s="1"/>
      <c r="H2240" s="1"/>
    </row>
    <row r="2241" spans="2:8" ht="12.75">
      <c r="B2241" s="8" t="s">
        <v>48</v>
      </c>
      <c r="C2241" s="8">
        <v>3.19</v>
      </c>
      <c r="D2241" s="8">
        <f>C2241/1445.8/12*1000</f>
        <v>0.18386591045326692</v>
      </c>
      <c r="E2241" s="1"/>
      <c r="F2241" s="1"/>
      <c r="G2241" s="1"/>
      <c r="H2241" s="1"/>
    </row>
    <row r="2242" spans="2:8" ht="12.75">
      <c r="B2242" s="8" t="s">
        <v>50</v>
      </c>
      <c r="C2242" s="8">
        <v>1.2</v>
      </c>
      <c r="D2242" s="8">
        <f>C2242/1445.8/12*1000</f>
        <v>0.06916585973163646</v>
      </c>
      <c r="E2242" s="1"/>
      <c r="F2242" s="1"/>
      <c r="G2242" s="1"/>
      <c r="H2242" s="1"/>
    </row>
    <row r="2243" spans="2:8" ht="12.75">
      <c r="B2243" s="14" t="s">
        <v>27</v>
      </c>
      <c r="C2243" s="14">
        <f>21.57+3.37</f>
        <v>24.94</v>
      </c>
      <c r="D2243" s="14">
        <f>C2243/1445.8/12*1000</f>
        <v>1.4374971180891778</v>
      </c>
      <c r="E2243" s="1"/>
      <c r="F2243" s="1"/>
      <c r="G2243" s="1"/>
      <c r="H2243" s="1"/>
    </row>
    <row r="2244" spans="2:8" ht="12.75">
      <c r="B2244" s="14"/>
      <c r="C2244" s="14"/>
      <c r="D2244" s="8"/>
      <c r="E2244" s="1"/>
      <c r="F2244" s="1"/>
      <c r="G2244" s="1"/>
      <c r="H2244" s="1"/>
    </row>
    <row r="2245" spans="2:8" ht="12.75">
      <c r="B2245" s="14" t="s">
        <v>29</v>
      </c>
      <c r="C2245" s="23">
        <f>C2232+C2233+C2237+C2243+C2244</f>
        <v>199.67</v>
      </c>
      <c r="D2245" s="23">
        <f>D2232+D2233+D2237+D2243+D2244</f>
        <v>11.508622677179877</v>
      </c>
      <c r="E2245" s="1"/>
      <c r="F2245" s="1"/>
      <c r="G2245" s="1"/>
      <c r="H2245" s="1"/>
    </row>
    <row r="2246" spans="2:8" ht="12.75">
      <c r="B2246" s="8" t="s">
        <v>51</v>
      </c>
      <c r="C2246" s="8">
        <v>19.97</v>
      </c>
      <c r="D2246" s="8">
        <f>C2246/1445.8/12*1000</f>
        <v>1.1510351823673166</v>
      </c>
      <c r="E2246" s="1"/>
      <c r="F2246" s="1"/>
      <c r="G2246" s="1"/>
      <c r="H2246" s="1"/>
    </row>
    <row r="2247" spans="2:8" ht="12.75">
      <c r="B2247" s="14" t="s">
        <v>31</v>
      </c>
      <c r="C2247" s="23">
        <f>C2245+C2246</f>
        <v>219.64</v>
      </c>
      <c r="D2247" s="23">
        <f>D2245+D2246</f>
        <v>12.659657859547194</v>
      </c>
      <c r="E2247" s="1"/>
      <c r="F2247" s="1"/>
      <c r="G2247" s="1"/>
      <c r="H2247" s="1"/>
    </row>
    <row r="2248" spans="2:8" ht="12.75">
      <c r="B2248" s="6" t="s">
        <v>34</v>
      </c>
      <c r="C2248" s="23">
        <f>C2247/C2231/12*1000</f>
        <v>12.659657859547194</v>
      </c>
      <c r="D2248" s="8"/>
      <c r="E2248" s="1"/>
      <c r="F2248" s="1"/>
      <c r="G2248" s="1"/>
      <c r="H2248" s="1"/>
    </row>
    <row r="2249" spans="2:8" ht="12.75">
      <c r="B2249" s="1"/>
      <c r="C2249" s="1"/>
      <c r="D2249" s="1"/>
      <c r="E2249" s="1"/>
      <c r="F2249" s="1"/>
      <c r="G2249" s="1"/>
      <c r="H2249" s="1"/>
    </row>
    <row r="2250" spans="2:8" ht="12.75">
      <c r="B2250" s="1" t="s">
        <v>52</v>
      </c>
      <c r="C2250" s="1"/>
      <c r="D2250" s="1"/>
      <c r="E2250" s="1"/>
      <c r="F2250" s="1"/>
      <c r="G2250" s="1"/>
      <c r="H2250" s="1"/>
    </row>
    <row r="2251" spans="2:8" ht="12.75">
      <c r="B2251" s="1"/>
      <c r="C2251" s="1"/>
      <c r="D2251" s="1"/>
      <c r="E2251" s="1"/>
      <c r="F2251" s="1"/>
      <c r="G2251" s="1"/>
      <c r="H2251" s="1"/>
    </row>
    <row r="2252" spans="2:8" ht="12.75">
      <c r="B2252" s="2" t="s">
        <v>0</v>
      </c>
      <c r="C2252" s="2"/>
      <c r="D2252" s="2"/>
      <c r="E2252" s="1"/>
      <c r="F2252" s="1"/>
      <c r="G2252" s="1"/>
      <c r="H2252" s="1"/>
    </row>
    <row r="2253" spans="2:8" ht="12.75">
      <c r="B2253" s="2" t="s">
        <v>65</v>
      </c>
      <c r="C2253" s="2"/>
      <c r="D2253" s="2"/>
      <c r="E2253" s="1"/>
      <c r="F2253" s="1"/>
      <c r="G2253" s="1"/>
      <c r="H2253" s="1"/>
    </row>
    <row r="2254" spans="2:8" ht="12.75">
      <c r="B2254" s="2" t="s">
        <v>152</v>
      </c>
      <c r="C2254" s="2"/>
      <c r="D2254" s="2"/>
      <c r="E2254" s="1"/>
      <c r="F2254" s="1"/>
      <c r="G2254" s="1"/>
      <c r="H2254" s="1"/>
    </row>
    <row r="2255" spans="2:8" ht="12.75">
      <c r="B2255" s="3"/>
      <c r="C2255" s="3"/>
      <c r="D2255" s="1"/>
      <c r="E2255" s="1"/>
      <c r="F2255" s="1"/>
      <c r="G2255" s="1"/>
      <c r="H2255" s="1"/>
    </row>
    <row r="2256" spans="2:8" ht="12.75">
      <c r="B2256" s="5" t="s">
        <v>4</v>
      </c>
      <c r="C2256" s="31" t="s">
        <v>40</v>
      </c>
      <c r="D2256" s="6" t="s">
        <v>41</v>
      </c>
      <c r="E2256" s="1"/>
      <c r="F2256" s="1"/>
      <c r="G2256" s="1"/>
      <c r="H2256" s="1"/>
    </row>
    <row r="2257" spans="2:8" ht="12.75">
      <c r="B2257" s="6"/>
      <c r="C2257" s="6"/>
      <c r="D2257" s="7"/>
      <c r="E2257" s="1"/>
      <c r="F2257" s="1"/>
      <c r="G2257" s="1"/>
      <c r="H2257" s="1"/>
    </row>
    <row r="2258" spans="2:8" ht="12.75">
      <c r="B2258" s="10" t="s">
        <v>42</v>
      </c>
      <c r="C2258" s="8">
        <v>3549.3</v>
      </c>
      <c r="D2258" s="8"/>
      <c r="E2258" s="1"/>
      <c r="F2258" s="1"/>
      <c r="G2258" s="1"/>
      <c r="H2258" s="1"/>
    </row>
    <row r="2259" spans="2:8" ht="12.75">
      <c r="B2259" s="11" t="s">
        <v>13</v>
      </c>
      <c r="C2259" s="32">
        <v>72.79</v>
      </c>
      <c r="D2259" s="14">
        <f>C2259/3549.3/12*1000</f>
        <v>1.7090224363489517</v>
      </c>
      <c r="E2259" s="1"/>
      <c r="F2259" s="1"/>
      <c r="G2259" s="1"/>
      <c r="H2259" s="1"/>
    </row>
    <row r="2260" spans="2:8" ht="12.75">
      <c r="B2260" s="15" t="s">
        <v>14</v>
      </c>
      <c r="C2260" s="9">
        <f>SUM(C2261:C2263)</f>
        <v>196.62</v>
      </c>
      <c r="D2260" s="9">
        <f>SUM(D2261:D2263)</f>
        <v>4.616403234440593</v>
      </c>
      <c r="E2260" s="1"/>
      <c r="F2260" s="1"/>
      <c r="G2260" s="1"/>
      <c r="H2260" s="1"/>
    </row>
    <row r="2261" spans="2:8" ht="12.75">
      <c r="B2261" s="6" t="s">
        <v>43</v>
      </c>
      <c r="C2261" s="8">
        <f>27.69+37.48</f>
        <v>65.17</v>
      </c>
      <c r="D2261" s="8">
        <f>C2261/3549.3/12*1000</f>
        <v>1.5301139191765514</v>
      </c>
      <c r="E2261" s="1"/>
      <c r="F2261" s="1"/>
      <c r="G2261" s="1"/>
      <c r="H2261" s="1"/>
    </row>
    <row r="2262" spans="2:8" ht="12.75">
      <c r="B2262" s="17" t="s">
        <v>44</v>
      </c>
      <c r="C2262" s="8">
        <v>31.35</v>
      </c>
      <c r="D2262" s="8">
        <f>C2262/3549.3/12*1000</f>
        <v>0.7360606316738512</v>
      </c>
      <c r="E2262" s="1"/>
      <c r="F2262" s="1"/>
      <c r="G2262" s="1"/>
      <c r="H2262" s="1"/>
    </row>
    <row r="2263" spans="2:8" ht="12.75">
      <c r="B2263" s="6" t="s">
        <v>16</v>
      </c>
      <c r="C2263" s="8">
        <v>100.1</v>
      </c>
      <c r="D2263" s="8">
        <f>C2263/3549.3/12*1000</f>
        <v>2.350228683590191</v>
      </c>
      <c r="E2263" s="1"/>
      <c r="F2263" s="1"/>
      <c r="G2263" s="1"/>
      <c r="H2263" s="1"/>
    </row>
    <row r="2264" spans="2:8" ht="12.75">
      <c r="B2264" s="10" t="s">
        <v>19</v>
      </c>
      <c r="C2264" s="22">
        <f>SUM(C2265:C2269)</f>
        <v>159.54999999999998</v>
      </c>
      <c r="D2264" s="22">
        <f>SUM(D2265:D2269)</f>
        <v>3.7460438208473024</v>
      </c>
      <c r="E2264" s="1"/>
      <c r="F2264" s="1"/>
      <c r="G2264" s="1"/>
      <c r="H2264" s="1"/>
    </row>
    <row r="2265" spans="2:8" ht="12.75">
      <c r="B2265" s="6" t="s">
        <v>45</v>
      </c>
      <c r="C2265" s="8">
        <f>113.44+22.91+11.48</f>
        <v>147.82999999999998</v>
      </c>
      <c r="D2265" s="8">
        <f>C2265/3549.3/12*1000</f>
        <v>3.470872190760619</v>
      </c>
      <c r="E2265" s="1"/>
      <c r="F2265" s="1"/>
      <c r="G2265" s="1"/>
      <c r="H2265" s="1"/>
    </row>
    <row r="2266" spans="2:8" ht="12.75">
      <c r="B2266" s="6" t="s">
        <v>46</v>
      </c>
      <c r="C2266" s="8">
        <v>0</v>
      </c>
      <c r="D2266" s="8">
        <f>C2266/3549.3/12*1000</f>
        <v>0</v>
      </c>
      <c r="E2266" s="1"/>
      <c r="F2266" s="1"/>
      <c r="G2266" s="1"/>
      <c r="H2266" s="1"/>
    </row>
    <row r="2267" spans="2:8" ht="12.75">
      <c r="B2267" s="20" t="s">
        <v>47</v>
      </c>
      <c r="C2267" s="8">
        <v>1.49</v>
      </c>
      <c r="D2267" s="8">
        <f>C2267/3549.3/12*1000</f>
        <v>0.03498342396153232</v>
      </c>
      <c r="E2267" s="1"/>
      <c r="F2267" s="1"/>
      <c r="G2267" s="1"/>
      <c r="H2267" s="1"/>
    </row>
    <row r="2268" spans="2:8" ht="12.75">
      <c r="B2268" s="8" t="s">
        <v>48</v>
      </c>
      <c r="C2268" s="8">
        <v>7.7</v>
      </c>
      <c r="D2268" s="8">
        <f>C2268/3549.3/12*1000</f>
        <v>0.1807868218146301</v>
      </c>
      <c r="E2268" s="1"/>
      <c r="F2268" s="1"/>
      <c r="G2268" s="1"/>
      <c r="H2268" s="1"/>
    </row>
    <row r="2269" spans="2:8" ht="12.75">
      <c r="B2269" s="8" t="s">
        <v>50</v>
      </c>
      <c r="C2269" s="8">
        <v>2.5300000000000002</v>
      </c>
      <c r="D2269" s="8">
        <f>C2269/3549.3/12*1000</f>
        <v>0.05940138431052133</v>
      </c>
      <c r="E2269" s="1"/>
      <c r="F2269" s="1"/>
      <c r="G2269" s="1"/>
      <c r="H2269" s="1"/>
    </row>
    <row r="2270" spans="2:8" ht="12.75">
      <c r="B2270" s="14" t="s">
        <v>27</v>
      </c>
      <c r="C2270" s="14">
        <f>52.95+8.28</f>
        <v>61.230000000000004</v>
      </c>
      <c r="D2270" s="14">
        <f>C2270/3549.3/12*1000</f>
        <v>1.4376074155467276</v>
      </c>
      <c r="E2270" s="1"/>
      <c r="F2270" s="1"/>
      <c r="G2270" s="1"/>
      <c r="H2270" s="1"/>
    </row>
    <row r="2271" spans="2:8" ht="12.75">
      <c r="B2271" s="14"/>
      <c r="C2271" s="14"/>
      <c r="D2271" s="8"/>
      <c r="E2271" s="1"/>
      <c r="F2271" s="1"/>
      <c r="G2271" s="1"/>
      <c r="H2271" s="1"/>
    </row>
    <row r="2272" spans="2:8" ht="12.75">
      <c r="B2272" s="14" t="s">
        <v>29</v>
      </c>
      <c r="C2272" s="23">
        <f>C2259+C2260+C2264+C2270+C2271</f>
        <v>490.19000000000005</v>
      </c>
      <c r="D2272" s="23">
        <f>D2259+D2260+D2264+D2270+D2271</f>
        <v>11.509076907183575</v>
      </c>
      <c r="E2272" s="1"/>
      <c r="F2272" s="1"/>
      <c r="G2272" s="1"/>
      <c r="H2272" s="1"/>
    </row>
    <row r="2273" spans="2:8" ht="12.75">
      <c r="B2273" s="8" t="s">
        <v>51</v>
      </c>
      <c r="C2273" s="8">
        <v>49.02</v>
      </c>
      <c r="D2273" s="8">
        <f>C2273/3549.3/12*1000</f>
        <v>1.1509311695263855</v>
      </c>
      <c r="E2273" s="1"/>
      <c r="F2273" s="1"/>
      <c r="G2273" s="1"/>
      <c r="H2273" s="1"/>
    </row>
    <row r="2274" spans="2:8" ht="12.75">
      <c r="B2274" s="14" t="s">
        <v>31</v>
      </c>
      <c r="C2274" s="23">
        <f>C2272+C2273</f>
        <v>539.21</v>
      </c>
      <c r="D2274" s="23">
        <f>D2272+D2273</f>
        <v>12.66000807670996</v>
      </c>
      <c r="E2274" s="1"/>
      <c r="F2274" s="1"/>
      <c r="G2274" s="1"/>
      <c r="H2274" s="1"/>
    </row>
    <row r="2275" spans="2:8" ht="12.75">
      <c r="B2275" s="6" t="s">
        <v>34</v>
      </c>
      <c r="C2275" s="23">
        <f>C2274/C2258/12*1000</f>
        <v>12.660008076709964</v>
      </c>
      <c r="D2275" s="8"/>
      <c r="E2275" s="1"/>
      <c r="F2275" s="1"/>
      <c r="G2275" s="1"/>
      <c r="H2275" s="1"/>
    </row>
    <row r="2276" spans="2:8" ht="12.75">
      <c r="B2276" s="1"/>
      <c r="C2276" s="1"/>
      <c r="D2276" s="1"/>
      <c r="E2276" s="1"/>
      <c r="F2276" s="1"/>
      <c r="G2276" s="1"/>
      <c r="H2276" s="1"/>
    </row>
    <row r="2277" spans="2:8" ht="12.75">
      <c r="B2277" s="1" t="s">
        <v>52</v>
      </c>
      <c r="C2277" s="1"/>
      <c r="D2277" s="1"/>
      <c r="E2277" s="1"/>
      <c r="F2277" s="1"/>
      <c r="G2277" s="1"/>
      <c r="H2277" s="1"/>
    </row>
    <row r="2278" spans="2:8" ht="12.75">
      <c r="B2278" s="1"/>
      <c r="C2278" s="1"/>
      <c r="D2278" s="1"/>
      <c r="E2278" s="1"/>
      <c r="F2278" s="1"/>
      <c r="G2278" s="1"/>
      <c r="H2278" s="1"/>
    </row>
    <row r="2279" spans="2:8" ht="12.75">
      <c r="B2279" s="2" t="s">
        <v>0</v>
      </c>
      <c r="C2279" s="2"/>
      <c r="D2279" s="2"/>
      <c r="E2279" s="1"/>
      <c r="F2279" s="1"/>
      <c r="G2279" s="1"/>
      <c r="H2279" s="1"/>
    </row>
    <row r="2280" spans="2:8" ht="12.75">
      <c r="B2280" s="2" t="s">
        <v>65</v>
      </c>
      <c r="C2280" s="2"/>
      <c r="D2280" s="2"/>
      <c r="E2280" s="1"/>
      <c r="F2280" s="1"/>
      <c r="G2280" s="1"/>
      <c r="H2280" s="1"/>
    </row>
    <row r="2281" spans="2:8" ht="12.75">
      <c r="B2281" s="2" t="s">
        <v>153</v>
      </c>
      <c r="C2281" s="2"/>
      <c r="D2281" s="2"/>
      <c r="E2281" s="1"/>
      <c r="F2281" s="1"/>
      <c r="G2281" s="1"/>
      <c r="H2281" s="1"/>
    </row>
    <row r="2282" spans="2:8" ht="12.75">
      <c r="B2282" s="3"/>
      <c r="C2282" s="3"/>
      <c r="D2282" s="1"/>
      <c r="E2282" s="1"/>
      <c r="F2282" s="1"/>
      <c r="G2282" s="1"/>
      <c r="H2282" s="1"/>
    </row>
    <row r="2283" spans="2:8" ht="12.75">
      <c r="B2283" s="5" t="s">
        <v>4</v>
      </c>
      <c r="C2283" s="31" t="s">
        <v>40</v>
      </c>
      <c r="D2283" s="6" t="s">
        <v>41</v>
      </c>
      <c r="E2283" s="1"/>
      <c r="F2283" s="1"/>
      <c r="G2283" s="1"/>
      <c r="H2283" s="1"/>
    </row>
    <row r="2284" spans="2:8" ht="12.75">
      <c r="B2284" s="6"/>
      <c r="C2284" s="6"/>
      <c r="D2284" s="7"/>
      <c r="E2284" s="1"/>
      <c r="F2284" s="1"/>
      <c r="G2284" s="1"/>
      <c r="H2284" s="1"/>
    </row>
    <row r="2285" spans="2:8" ht="12.75">
      <c r="B2285" s="10" t="s">
        <v>42</v>
      </c>
      <c r="C2285" s="8">
        <v>855.6</v>
      </c>
      <c r="D2285" s="8"/>
      <c r="E2285" s="1"/>
      <c r="F2285" s="1"/>
      <c r="G2285" s="1"/>
      <c r="H2285" s="1"/>
    </row>
    <row r="2286" spans="2:8" ht="12.75">
      <c r="B2286" s="11" t="s">
        <v>13</v>
      </c>
      <c r="C2286" s="32">
        <v>17.55</v>
      </c>
      <c r="D2286" s="14">
        <f>C2286/855.6/12*1000</f>
        <v>1.7093267882187937</v>
      </c>
      <c r="E2286" s="1"/>
      <c r="F2286" s="1"/>
      <c r="G2286" s="1"/>
      <c r="H2286" s="1"/>
    </row>
    <row r="2287" spans="2:8" ht="12.75">
      <c r="B2287" s="15" t="s">
        <v>14</v>
      </c>
      <c r="C2287" s="9">
        <f>SUM(C2288:C2290)</f>
        <v>40.33</v>
      </c>
      <c r="D2287" s="9">
        <f>SUM(D2288:D2290)</f>
        <v>3.9280426990805664</v>
      </c>
      <c r="E2287" s="1"/>
      <c r="F2287" s="1"/>
      <c r="G2287" s="1"/>
      <c r="H2287" s="1"/>
    </row>
    <row r="2288" spans="2:8" ht="12.75">
      <c r="B2288" s="6" t="s">
        <v>43</v>
      </c>
      <c r="C2288" s="8">
        <f>6.67+9.03</f>
        <v>15.7</v>
      </c>
      <c r="D2288" s="8">
        <f>C2288/855.6/12*1000</f>
        <v>1.529141343306841</v>
      </c>
      <c r="E2288" s="1"/>
      <c r="F2288" s="1"/>
      <c r="G2288" s="1"/>
      <c r="H2288" s="1"/>
    </row>
    <row r="2289" spans="2:8" ht="12.75">
      <c r="B2289" s="17" t="s">
        <v>44</v>
      </c>
      <c r="C2289" s="8">
        <v>7.56</v>
      </c>
      <c r="D2289" s="8">
        <f>C2289/855.6/12*1000</f>
        <v>0.7363253856942495</v>
      </c>
      <c r="E2289" s="1"/>
      <c r="F2289" s="1"/>
      <c r="G2289" s="1"/>
      <c r="H2289" s="1"/>
    </row>
    <row r="2290" spans="2:8" ht="12.75">
      <c r="B2290" s="6" t="s">
        <v>16</v>
      </c>
      <c r="C2290" s="8">
        <v>17.07</v>
      </c>
      <c r="D2290" s="8">
        <f>C2290/855.6/12*1000</f>
        <v>1.6625759700794762</v>
      </c>
      <c r="E2290" s="1"/>
      <c r="F2290" s="1"/>
      <c r="G2290" s="1"/>
      <c r="H2290" s="1"/>
    </row>
    <row r="2291" spans="2:8" ht="12.75">
      <c r="B2291" s="10" t="s">
        <v>19</v>
      </c>
      <c r="C2291" s="22">
        <f>SUM(C2292:C2297)</f>
        <v>45.519999999999996</v>
      </c>
      <c r="D2291" s="22">
        <f>SUM(D2292:D2297)</f>
        <v>4.433535920211937</v>
      </c>
      <c r="E2291" s="1"/>
      <c r="F2291" s="1"/>
      <c r="G2291" s="1"/>
      <c r="H2291" s="1"/>
    </row>
    <row r="2292" spans="2:8" ht="12.75">
      <c r="B2292" s="6" t="s">
        <v>45</v>
      </c>
      <c r="C2292" s="8">
        <f>32.25+6.51+3.26</f>
        <v>42.019999999999996</v>
      </c>
      <c r="D2292" s="8">
        <f>C2292/855.6/12*1000</f>
        <v>4.0926445379460805</v>
      </c>
      <c r="E2292" s="1"/>
      <c r="F2292" s="1"/>
      <c r="G2292" s="1"/>
      <c r="H2292" s="1"/>
    </row>
    <row r="2293" spans="2:8" ht="12.75">
      <c r="B2293" s="6" t="s">
        <v>46</v>
      </c>
      <c r="C2293" s="8">
        <v>0</v>
      </c>
      <c r="D2293" s="8">
        <f>C2293/855.6/12*1000</f>
        <v>0</v>
      </c>
      <c r="E2293" s="1"/>
      <c r="F2293" s="1"/>
      <c r="G2293" s="1"/>
      <c r="H2293" s="1"/>
    </row>
    <row r="2294" spans="2:8" ht="12.75">
      <c r="B2294" s="20" t="s">
        <v>47</v>
      </c>
      <c r="C2294" s="8">
        <v>0.5</v>
      </c>
      <c r="D2294" s="8">
        <f>C2294/855.6/12*1000</f>
        <v>0.04869876889512233</v>
      </c>
      <c r="E2294" s="1"/>
      <c r="F2294" s="1"/>
      <c r="G2294" s="1"/>
      <c r="H2294" s="1"/>
    </row>
    <row r="2295" spans="2:8" ht="12.75">
      <c r="B2295" s="8" t="s">
        <v>48</v>
      </c>
      <c r="C2295" s="8">
        <v>2.39</v>
      </c>
      <c r="D2295" s="8">
        <f>C2295/855.6/12*1000</f>
        <v>0.23278011531868475</v>
      </c>
      <c r="E2295" s="1"/>
      <c r="F2295" s="1"/>
      <c r="G2295" s="1"/>
      <c r="H2295" s="1"/>
    </row>
    <row r="2296" spans="2:8" ht="12.75">
      <c r="B2296" s="8" t="s">
        <v>49</v>
      </c>
      <c r="C2296" s="8">
        <v>0</v>
      </c>
      <c r="D2296" s="8">
        <f>C2296/855.6/12*1000</f>
        <v>0</v>
      </c>
      <c r="E2296" s="1"/>
      <c r="F2296" s="1"/>
      <c r="G2296" s="1"/>
      <c r="H2296" s="1"/>
    </row>
    <row r="2297" spans="2:8" ht="12.75">
      <c r="B2297" s="8" t="s">
        <v>50</v>
      </c>
      <c r="C2297" s="8">
        <v>0.61</v>
      </c>
      <c r="D2297" s="8">
        <f>C2297/855.6/12*1000</f>
        <v>0.05941249805204924</v>
      </c>
      <c r="E2297" s="1"/>
      <c r="F2297" s="1"/>
      <c r="G2297" s="1"/>
      <c r="H2297" s="1"/>
    </row>
    <row r="2298" spans="2:8" ht="12.75">
      <c r="B2298" s="14" t="s">
        <v>27</v>
      </c>
      <c r="C2298" s="14">
        <f>12.77+1.99</f>
        <v>14.76</v>
      </c>
      <c r="D2298" s="14">
        <f>C2298/855.6/12*1000</f>
        <v>1.4375876577840112</v>
      </c>
      <c r="E2298" s="1"/>
      <c r="F2298" s="1"/>
      <c r="G2298" s="1"/>
      <c r="H2298" s="1"/>
    </row>
    <row r="2299" spans="2:8" ht="12.75">
      <c r="B2299" s="14"/>
      <c r="C2299" s="14"/>
      <c r="D2299" s="8"/>
      <c r="E2299" s="1"/>
      <c r="F2299" s="1"/>
      <c r="G2299" s="1"/>
      <c r="H2299" s="1"/>
    </row>
    <row r="2300" spans="2:8" ht="12.75">
      <c r="B2300" s="14" t="s">
        <v>29</v>
      </c>
      <c r="C2300" s="23">
        <f>C2286+C2287+C2291+C2298+C2299</f>
        <v>118.16</v>
      </c>
      <c r="D2300" s="23">
        <f>D2286+D2287+D2291+D2298+D2299</f>
        <v>11.508493065295308</v>
      </c>
      <c r="E2300" s="1"/>
      <c r="F2300" s="1"/>
      <c r="G2300" s="1"/>
      <c r="H2300" s="1"/>
    </row>
    <row r="2301" spans="2:8" ht="12.75">
      <c r="B2301" s="8" t="s">
        <v>51</v>
      </c>
      <c r="C2301" s="8">
        <v>11.82</v>
      </c>
      <c r="D2301" s="8">
        <f>C2301/855.6/12*1000</f>
        <v>1.151238896680692</v>
      </c>
      <c r="E2301" s="1"/>
      <c r="F2301" s="1"/>
      <c r="G2301" s="1"/>
      <c r="H2301" s="1"/>
    </row>
    <row r="2302" spans="2:8" ht="12.75">
      <c r="B2302" s="14" t="s">
        <v>31</v>
      </c>
      <c r="C2302" s="23">
        <f>C2300+C2301</f>
        <v>129.98</v>
      </c>
      <c r="D2302" s="23">
        <f>D2300+D2301</f>
        <v>12.659731961976</v>
      </c>
      <c r="E2302" s="1"/>
      <c r="F2302" s="1"/>
      <c r="G2302" s="1"/>
      <c r="H2302" s="1"/>
    </row>
    <row r="2303" spans="2:8" ht="12.75">
      <c r="B2303" s="6" t="s">
        <v>34</v>
      </c>
      <c r="C2303" s="23">
        <f>C2302/C2285/12*1000</f>
        <v>12.659731961976</v>
      </c>
      <c r="D2303" s="8"/>
      <c r="E2303" s="1"/>
      <c r="F2303" s="1"/>
      <c r="G2303" s="1"/>
      <c r="H2303" s="1"/>
    </row>
    <row r="2304" spans="2:8" ht="12.75">
      <c r="B2304" s="1"/>
      <c r="C2304" s="1"/>
      <c r="D2304" s="1"/>
      <c r="E2304" s="1"/>
      <c r="F2304" s="1"/>
      <c r="G2304" s="1"/>
      <c r="H2304" s="1"/>
    </row>
    <row r="2305" spans="2:8" ht="12.75">
      <c r="B2305" s="1" t="s">
        <v>52</v>
      </c>
      <c r="C2305" s="1"/>
      <c r="D2305" s="1"/>
      <c r="E2305" s="1"/>
      <c r="F2305" s="1"/>
      <c r="G2305" s="1"/>
      <c r="H2305" s="1"/>
    </row>
    <row r="2306" spans="2:8" ht="12.75">
      <c r="B2306" s="1"/>
      <c r="C2306" s="1"/>
      <c r="D2306" s="1"/>
      <c r="E2306" s="1"/>
      <c r="F2306" s="1"/>
      <c r="G2306" s="1"/>
      <c r="H2306" s="1"/>
    </row>
    <row r="2307" spans="2:8" ht="12.75">
      <c r="B2307" s="2" t="s">
        <v>0</v>
      </c>
      <c r="C2307" s="2"/>
      <c r="D2307" s="2"/>
      <c r="E2307" s="1"/>
      <c r="F2307" s="1"/>
      <c r="G2307" s="1"/>
      <c r="H2307" s="1"/>
    </row>
    <row r="2308" spans="2:8" ht="12.75">
      <c r="B2308" s="2" t="s">
        <v>65</v>
      </c>
      <c r="C2308" s="2"/>
      <c r="D2308" s="2"/>
      <c r="E2308" s="1"/>
      <c r="F2308" s="1"/>
      <c r="G2308" s="1"/>
      <c r="H2308" s="1"/>
    </row>
    <row r="2309" spans="2:8" ht="12.75">
      <c r="B2309" s="2" t="s">
        <v>154</v>
      </c>
      <c r="C2309" s="2"/>
      <c r="D2309" s="2"/>
      <c r="E2309" s="1"/>
      <c r="F2309" s="1"/>
      <c r="G2309" s="1"/>
      <c r="H2309" s="1"/>
    </row>
    <row r="2310" spans="2:8" ht="12.75">
      <c r="B2310" s="3"/>
      <c r="C2310" s="3"/>
      <c r="D2310" s="1"/>
      <c r="E2310" s="1"/>
      <c r="F2310" s="1"/>
      <c r="G2310" s="1"/>
      <c r="H2310" s="1"/>
    </row>
    <row r="2311" spans="2:12" ht="12.75">
      <c r="B2311" s="5" t="s">
        <v>4</v>
      </c>
      <c r="C2311" s="31" t="s">
        <v>40</v>
      </c>
      <c r="D2311" s="6" t="s">
        <v>41</v>
      </c>
      <c r="E2311" s="1"/>
      <c r="F2311" s="1"/>
      <c r="G2311" s="1"/>
      <c r="H2311" s="1"/>
      <c r="J2311" s="29"/>
      <c r="K2311" s="27"/>
      <c r="L2311" s="27"/>
    </row>
    <row r="2312" spans="2:12" ht="12.75">
      <c r="B2312" s="6"/>
      <c r="C2312" s="6"/>
      <c r="D2312" s="7"/>
      <c r="E2312" s="1"/>
      <c r="F2312" s="1"/>
      <c r="G2312" s="1"/>
      <c r="H2312" s="1"/>
      <c r="J2312" s="27"/>
      <c r="K2312" s="27"/>
      <c r="L2312" s="34"/>
    </row>
    <row r="2313" spans="2:12" ht="12.75">
      <c r="B2313" s="10" t="s">
        <v>42</v>
      </c>
      <c r="C2313" s="8">
        <v>3509.2</v>
      </c>
      <c r="D2313" s="8"/>
      <c r="E2313" s="1"/>
      <c r="F2313" s="1"/>
      <c r="G2313" s="1"/>
      <c r="H2313" s="1"/>
      <c r="J2313" s="40"/>
      <c r="K2313" s="36"/>
      <c r="L2313" s="36"/>
    </row>
    <row r="2314" spans="2:12" ht="12.75">
      <c r="B2314" s="11" t="s">
        <v>13</v>
      </c>
      <c r="C2314" s="32">
        <v>71.97</v>
      </c>
      <c r="D2314" s="14">
        <f>C2314/3509.2/12*1000</f>
        <v>1.7090789923629317</v>
      </c>
      <c r="E2314" s="1"/>
      <c r="F2314" s="1"/>
      <c r="G2314" s="1"/>
      <c r="H2314" s="1"/>
      <c r="J2314" s="41"/>
      <c r="K2314" s="32"/>
      <c r="L2314" s="38"/>
    </row>
    <row r="2315" spans="2:12" ht="12.75">
      <c r="B2315" s="15" t="s">
        <v>14</v>
      </c>
      <c r="C2315" s="9">
        <f>SUM(C2316:C2318)</f>
        <v>185.12</v>
      </c>
      <c r="D2315" s="9">
        <f>SUM(D2316:D2318)</f>
        <v>4.396063680231012</v>
      </c>
      <c r="E2315" s="1"/>
      <c r="F2315" s="1"/>
      <c r="G2315" s="1"/>
      <c r="H2315" s="1"/>
      <c r="J2315" s="42"/>
      <c r="K2315" s="2"/>
      <c r="L2315" s="2"/>
    </row>
    <row r="2316" spans="2:12" ht="12.75">
      <c r="B2316" s="6" t="s">
        <v>43</v>
      </c>
      <c r="C2316" s="8">
        <f>27.37+37.05</f>
        <v>64.42</v>
      </c>
      <c r="D2316" s="8">
        <f>C2316/3509.2/12*1000</f>
        <v>1.5297883658193703</v>
      </c>
      <c r="E2316" s="1"/>
      <c r="F2316" s="1"/>
      <c r="G2316" s="1"/>
      <c r="H2316" s="1"/>
      <c r="J2316" s="27"/>
      <c r="K2316" s="36"/>
      <c r="L2316" s="36"/>
    </row>
    <row r="2317" spans="2:12" ht="12.75">
      <c r="B2317" s="17" t="s">
        <v>44</v>
      </c>
      <c r="C2317" s="8">
        <v>31</v>
      </c>
      <c r="D2317" s="8">
        <f>C2317/3509.2/12*1000</f>
        <v>0.7361601884570083</v>
      </c>
      <c r="E2317" s="1"/>
      <c r="F2317" s="1"/>
      <c r="G2317" s="1"/>
      <c r="H2317" s="1"/>
      <c r="J2317" s="43"/>
      <c r="K2317" s="36"/>
      <c r="L2317" s="36"/>
    </row>
    <row r="2318" spans="2:12" ht="12.75">
      <c r="B2318" s="6" t="s">
        <v>16</v>
      </c>
      <c r="C2318" s="8">
        <v>89.7</v>
      </c>
      <c r="D2318" s="8">
        <f>C2318/3509.2/12*1000</f>
        <v>2.1301151259546334</v>
      </c>
      <c r="E2318" s="1"/>
      <c r="F2318" s="1"/>
      <c r="G2318" s="1"/>
      <c r="H2318" s="1"/>
      <c r="J2318" s="27"/>
      <c r="K2318" s="36"/>
      <c r="L2318" s="36"/>
    </row>
    <row r="2319" spans="2:12" ht="12.75">
      <c r="B2319" s="10" t="s">
        <v>19</v>
      </c>
      <c r="C2319" s="22">
        <f>SUM(C2320:C2324)</f>
        <v>167.01</v>
      </c>
      <c r="D2319" s="22">
        <f>SUM(D2320:D2324)</f>
        <v>3.9660036475549982</v>
      </c>
      <c r="E2319" s="1"/>
      <c r="F2319" s="1"/>
      <c r="G2319" s="1"/>
      <c r="H2319" s="1"/>
      <c r="J2319" s="40"/>
      <c r="K2319" s="37"/>
      <c r="L2319" s="37"/>
    </row>
    <row r="2320" spans="2:12" ht="12.75">
      <c r="B2320" s="6" t="s">
        <v>45</v>
      </c>
      <c r="C2320" s="8">
        <f>120.81+24.4+12.23</f>
        <v>157.44</v>
      </c>
      <c r="D2320" s="8">
        <f>C2320/3509.2/12*1000</f>
        <v>3.7387438732474636</v>
      </c>
      <c r="E2320" s="1"/>
      <c r="F2320" s="1"/>
      <c r="G2320" s="1"/>
      <c r="H2320" s="1"/>
      <c r="J2320" s="27"/>
      <c r="K2320" s="37"/>
      <c r="L2320" s="37"/>
    </row>
    <row r="2321" spans="2:12" ht="12.75">
      <c r="B2321" s="6" t="s">
        <v>46</v>
      </c>
      <c r="C2321" s="8">
        <v>0</v>
      </c>
      <c r="D2321" s="8">
        <f>C2321/3509.2/12*1000</f>
        <v>0</v>
      </c>
      <c r="E2321" s="1"/>
      <c r="F2321" s="1"/>
      <c r="G2321" s="1"/>
      <c r="H2321" s="1"/>
      <c r="J2321" s="27"/>
      <c r="K2321" s="36"/>
      <c r="L2321" s="36"/>
    </row>
    <row r="2322" spans="2:12" ht="12.75">
      <c r="B2322" s="20" t="s">
        <v>47</v>
      </c>
      <c r="C2322" s="8">
        <v>1.61</v>
      </c>
      <c r="D2322" s="8">
        <f>C2322/3509.2/12*1000</f>
        <v>0.03823283559405753</v>
      </c>
      <c r="E2322" s="1"/>
      <c r="F2322" s="1"/>
      <c r="G2322" s="1"/>
      <c r="H2322" s="1"/>
      <c r="J2322" s="27"/>
      <c r="K2322" s="36"/>
      <c r="L2322" s="36"/>
    </row>
    <row r="2323" spans="2:12" ht="12.75">
      <c r="B2323" s="8" t="s">
        <v>48</v>
      </c>
      <c r="C2323" s="8">
        <v>7.96</v>
      </c>
      <c r="D2323" s="8">
        <f>C2323/3509.2/12*1000</f>
        <v>0.18902693871347698</v>
      </c>
      <c r="E2323" s="1"/>
      <c r="F2323" s="1"/>
      <c r="G2323" s="1"/>
      <c r="H2323" s="1"/>
      <c r="J2323" s="44"/>
      <c r="K2323" s="36"/>
      <c r="L2323" s="36"/>
    </row>
    <row r="2324" spans="2:12" ht="12.75">
      <c r="B2324" s="8" t="s">
        <v>50</v>
      </c>
      <c r="C2324" s="8">
        <v>0</v>
      </c>
      <c r="D2324" s="8">
        <f>C2324/3509.2/12*1000</f>
        <v>0</v>
      </c>
      <c r="E2324" s="1"/>
      <c r="F2324" s="1"/>
      <c r="G2324" s="1"/>
      <c r="H2324" s="1"/>
      <c r="J2324" s="36"/>
      <c r="K2324" s="36"/>
      <c r="L2324" s="36"/>
    </row>
    <row r="2325" spans="2:12" ht="12.75">
      <c r="B2325" s="14" t="s">
        <v>27</v>
      </c>
      <c r="C2325" s="14">
        <f>52.36+8.18</f>
        <v>60.54</v>
      </c>
      <c r="D2325" s="14">
        <f>C2325/3509.2/12*1000</f>
        <v>1.4376496067479767</v>
      </c>
      <c r="E2325" s="1"/>
      <c r="F2325" s="1"/>
      <c r="G2325" s="1"/>
      <c r="H2325" s="1"/>
      <c r="J2325" s="43"/>
      <c r="K2325" s="36"/>
      <c r="L2325" s="36"/>
    </row>
    <row r="2326" spans="2:12" ht="12.75">
      <c r="B2326" s="14"/>
      <c r="C2326" s="14"/>
      <c r="D2326" s="8"/>
      <c r="E2326" s="1"/>
      <c r="F2326" s="1"/>
      <c r="G2326" s="1"/>
      <c r="H2326" s="1"/>
      <c r="J2326" s="38"/>
      <c r="K2326" s="38"/>
      <c r="L2326" s="38"/>
    </row>
    <row r="2327" spans="2:12" ht="12.75">
      <c r="B2327" s="14" t="s">
        <v>29</v>
      </c>
      <c r="C2327" s="23">
        <f>C2314+C2315+C2319+C2325+C2326</f>
        <v>484.64000000000004</v>
      </c>
      <c r="D2327" s="23">
        <f>D2314+D2315+D2319+D2325+D2326</f>
        <v>11.50879592689692</v>
      </c>
      <c r="E2327" s="1"/>
      <c r="F2327" s="1"/>
      <c r="G2327" s="1"/>
      <c r="H2327" s="1"/>
      <c r="J2327" s="38"/>
      <c r="K2327" s="38"/>
      <c r="L2327" s="36"/>
    </row>
    <row r="2328" spans="2:12" ht="12.75">
      <c r="B2328" s="8" t="s">
        <v>51</v>
      </c>
      <c r="C2328" s="8">
        <v>48.46</v>
      </c>
      <c r="D2328" s="8">
        <f>C2328/3509.2/12*1000</f>
        <v>1.150784604278278</v>
      </c>
      <c r="E2328" s="1"/>
      <c r="F2328" s="1"/>
      <c r="G2328" s="1"/>
      <c r="H2328" s="1"/>
      <c r="J2328" s="38"/>
      <c r="K2328" s="45"/>
      <c r="L2328" s="45"/>
    </row>
    <row r="2329" spans="2:12" ht="12.75">
      <c r="B2329" s="14" t="s">
        <v>31</v>
      </c>
      <c r="C2329" s="23">
        <f>C2327+C2328</f>
        <v>533.1</v>
      </c>
      <c r="D2329" s="23">
        <f>D2327+D2328</f>
        <v>12.659580531175198</v>
      </c>
      <c r="E2329" s="1"/>
      <c r="F2329" s="1"/>
      <c r="G2329" s="1"/>
      <c r="H2329" s="1"/>
      <c r="J2329" s="36"/>
      <c r="K2329" s="36"/>
      <c r="L2329" s="36"/>
    </row>
    <row r="2330" spans="2:12" ht="12.75">
      <c r="B2330" s="6" t="s">
        <v>34</v>
      </c>
      <c r="C2330" s="23">
        <f>C2329/C2313/12*1000</f>
        <v>12.659580531175198</v>
      </c>
      <c r="D2330" s="8"/>
      <c r="E2330" s="1"/>
      <c r="F2330" s="1"/>
      <c r="G2330" s="1"/>
      <c r="H2330" s="1"/>
      <c r="J2330" s="38"/>
      <c r="K2330" s="45"/>
      <c r="L2330" s="45"/>
    </row>
    <row r="2331" spans="2:12" ht="12.75">
      <c r="B2331" s="1"/>
      <c r="C2331" s="1"/>
      <c r="D2331" s="1"/>
      <c r="E2331" s="1"/>
      <c r="F2331" s="1"/>
      <c r="G2331" s="1"/>
      <c r="H2331" s="1"/>
      <c r="J2331" s="27"/>
      <c r="K2331" s="45"/>
      <c r="L2331" s="36"/>
    </row>
    <row r="2332" spans="2:12" ht="12.75">
      <c r="B2332" s="1" t="s">
        <v>52</v>
      </c>
      <c r="C2332" s="1"/>
      <c r="D2332" s="1"/>
      <c r="E2332" s="1"/>
      <c r="F2332" s="1"/>
      <c r="G2332" s="1"/>
      <c r="H2332" s="1"/>
      <c r="J2332" s="1"/>
      <c r="K2332" s="1"/>
      <c r="L2332" s="1"/>
    </row>
    <row r="2333" spans="2:12" ht="12.75">
      <c r="B2333" s="1"/>
      <c r="C2333" s="1"/>
      <c r="D2333" s="1"/>
      <c r="E2333" s="1"/>
      <c r="F2333" s="1"/>
      <c r="G2333" s="1"/>
      <c r="H2333" s="1"/>
      <c r="J2333" s="36"/>
      <c r="K2333" s="36"/>
      <c r="L2333" s="36"/>
    </row>
    <row r="2334" spans="2:8" ht="12.75">
      <c r="B2334" s="2" t="s">
        <v>0</v>
      </c>
      <c r="C2334" s="2"/>
      <c r="D2334" s="2"/>
      <c r="E2334" s="1"/>
      <c r="F2334" s="1"/>
      <c r="G2334" s="1"/>
      <c r="H2334" s="1"/>
    </row>
    <row r="2335" spans="2:8" ht="12.75">
      <c r="B2335" s="2" t="s">
        <v>65</v>
      </c>
      <c r="C2335" s="2"/>
      <c r="D2335" s="2"/>
      <c r="E2335" s="1"/>
      <c r="F2335" s="1"/>
      <c r="G2335" s="1"/>
      <c r="H2335" s="1"/>
    </row>
    <row r="2336" spans="2:8" ht="12.75">
      <c r="B2336" s="2" t="s">
        <v>155</v>
      </c>
      <c r="C2336" s="2"/>
      <c r="D2336" s="2"/>
      <c r="E2336" s="1"/>
      <c r="F2336" s="1"/>
      <c r="G2336" s="1"/>
      <c r="H2336" s="1"/>
    </row>
    <row r="2337" spans="2:8" ht="12.75">
      <c r="B2337" s="3"/>
      <c r="C2337" s="3"/>
      <c r="D2337" s="1"/>
      <c r="E2337" s="1"/>
      <c r="F2337" s="1"/>
      <c r="G2337" s="1"/>
      <c r="H2337" s="1"/>
    </row>
    <row r="2338" spans="2:8" ht="12.75">
      <c r="B2338" s="5" t="s">
        <v>4</v>
      </c>
      <c r="C2338" s="31" t="s">
        <v>40</v>
      </c>
      <c r="D2338" s="6" t="s">
        <v>41</v>
      </c>
      <c r="E2338" s="1"/>
      <c r="F2338" s="1"/>
      <c r="G2338" s="1"/>
      <c r="H2338" s="1"/>
    </row>
    <row r="2339" spans="2:8" ht="12.75">
      <c r="B2339" s="6"/>
      <c r="C2339" s="6"/>
      <c r="D2339" s="7"/>
      <c r="E2339" s="1"/>
      <c r="F2339" s="1"/>
      <c r="G2339" s="1"/>
      <c r="H2339" s="1"/>
    </row>
    <row r="2340" spans="2:8" ht="12.75">
      <c r="B2340" s="10" t="s">
        <v>42</v>
      </c>
      <c r="C2340" s="8">
        <v>371.1</v>
      </c>
      <c r="D2340" s="8"/>
      <c r="E2340" s="1"/>
      <c r="F2340" s="1"/>
      <c r="G2340" s="1"/>
      <c r="H2340" s="1"/>
    </row>
    <row r="2341" spans="2:8" ht="12.75">
      <c r="B2341" s="11" t="s">
        <v>13</v>
      </c>
      <c r="C2341" s="32">
        <v>7.72</v>
      </c>
      <c r="D2341" s="14">
        <f>C2341/371.1/12*1000</f>
        <v>1.7335848378693972</v>
      </c>
      <c r="E2341" s="1"/>
      <c r="F2341" s="1"/>
      <c r="G2341" s="1"/>
      <c r="H2341" s="1"/>
    </row>
    <row r="2342" spans="2:8" ht="12.75">
      <c r="B2342" s="15" t="s">
        <v>14</v>
      </c>
      <c r="C2342" s="9">
        <v>18.02</v>
      </c>
      <c r="D2342" s="9">
        <v>4.05</v>
      </c>
      <c r="E2342" s="1"/>
      <c r="F2342" s="1"/>
      <c r="G2342" s="1"/>
      <c r="H2342" s="1"/>
    </row>
    <row r="2343" spans="2:8" ht="12.75">
      <c r="B2343" s="6" t="s">
        <v>43</v>
      </c>
      <c r="C2343" s="8">
        <f>2.89+3.92</f>
        <v>6.8100000000000005</v>
      </c>
      <c r="D2343" s="8">
        <f>C2343/371.1/12*1000</f>
        <v>1.5292374023174347</v>
      </c>
      <c r="E2343" s="1"/>
      <c r="F2343" s="1"/>
      <c r="G2343" s="1"/>
      <c r="H2343" s="1"/>
    </row>
    <row r="2344" spans="2:8" ht="12.75">
      <c r="B2344" s="17" t="s">
        <v>44</v>
      </c>
      <c r="C2344" s="8">
        <v>3.28</v>
      </c>
      <c r="D2344" s="8">
        <f>C2344/371.1/12*1000</f>
        <v>0.7365489984730083</v>
      </c>
      <c r="E2344" s="1"/>
      <c r="F2344" s="1"/>
      <c r="G2344" s="1"/>
      <c r="H2344" s="1"/>
    </row>
    <row r="2345" spans="2:8" ht="12.75">
      <c r="B2345" s="6" t="s">
        <v>16</v>
      </c>
      <c r="C2345" s="8">
        <v>7.93</v>
      </c>
      <c r="D2345" s="8">
        <f>C2345/371.1/12*1000</f>
        <v>1.7807419383813887</v>
      </c>
      <c r="E2345" s="1"/>
      <c r="F2345" s="1"/>
      <c r="G2345" s="1"/>
      <c r="H2345" s="1"/>
    </row>
    <row r="2346" spans="2:8" ht="12.75">
      <c r="B2346" s="10" t="s">
        <v>19</v>
      </c>
      <c r="C2346" s="22">
        <f>SUM(C2347:C2350)</f>
        <v>19.676000000000002</v>
      </c>
      <c r="D2346" s="22">
        <f>SUM(D2347:D2350)</f>
        <v>4.418395760352106</v>
      </c>
      <c r="E2346" s="1"/>
      <c r="F2346" s="1"/>
      <c r="G2346" s="1"/>
      <c r="H2346" s="1"/>
    </row>
    <row r="2347" spans="2:8" ht="12.75">
      <c r="B2347" s="6" t="s">
        <v>45</v>
      </c>
      <c r="C2347" s="8">
        <f>14+2.836+1.42</f>
        <v>18.256</v>
      </c>
      <c r="D2347" s="8">
        <f>C2347/371.1/12*1000</f>
        <v>4.09952393784245</v>
      </c>
      <c r="E2347" s="1"/>
      <c r="F2347" s="1"/>
      <c r="G2347" s="1"/>
      <c r="H2347" s="1"/>
    </row>
    <row r="2348" spans="2:8" ht="12.75">
      <c r="B2348" s="6" t="s">
        <v>46</v>
      </c>
      <c r="C2348" s="8"/>
      <c r="D2348" s="8">
        <f>C2348/371.1/12*1000</f>
        <v>0</v>
      </c>
      <c r="E2348" s="1"/>
      <c r="F2348" s="1"/>
      <c r="G2348" s="1"/>
      <c r="H2348" s="1"/>
    </row>
    <row r="2349" spans="2:8" ht="12.75">
      <c r="B2349" s="8" t="s">
        <v>48</v>
      </c>
      <c r="C2349" s="8">
        <v>1.06</v>
      </c>
      <c r="D2349" s="8">
        <f>C2349/371.1/12*1000</f>
        <v>0.2380310787748136</v>
      </c>
      <c r="E2349" s="1"/>
      <c r="F2349" s="1"/>
      <c r="G2349" s="1"/>
      <c r="H2349" s="1"/>
    </row>
    <row r="2350" spans="2:8" ht="12.75">
      <c r="B2350" s="8" t="s">
        <v>50</v>
      </c>
      <c r="C2350" s="8">
        <v>0.36</v>
      </c>
      <c r="D2350" s="8">
        <f>C2350/371.1/12*1000</f>
        <v>0.08084074373484236</v>
      </c>
      <c r="E2350" s="1"/>
      <c r="F2350" s="1"/>
      <c r="G2350" s="1"/>
      <c r="H2350" s="1"/>
    </row>
    <row r="2351" spans="2:8" ht="12.75">
      <c r="B2351" s="14" t="s">
        <v>27</v>
      </c>
      <c r="C2351" s="14">
        <v>6.52</v>
      </c>
      <c r="D2351" s="14">
        <f>C2351/371.1/12*1000</f>
        <v>1.4641156920865894</v>
      </c>
      <c r="E2351" s="1"/>
      <c r="F2351" s="1"/>
      <c r="G2351" s="1"/>
      <c r="H2351" s="1"/>
    </row>
    <row r="2352" spans="2:8" ht="12.75">
      <c r="B2352" s="14"/>
      <c r="C2352" s="14"/>
      <c r="D2352" s="8"/>
      <c r="E2352" s="1"/>
      <c r="F2352" s="1"/>
      <c r="G2352" s="1"/>
      <c r="H2352" s="1"/>
    </row>
    <row r="2353" spans="2:8" ht="12.75">
      <c r="B2353" s="14" t="s">
        <v>29</v>
      </c>
      <c r="C2353" s="23">
        <f>C2341+C2342+C2346+C2351+C2352</f>
        <v>51.93599999999999</v>
      </c>
      <c r="D2353" s="23">
        <f>D2341+D2342+D2346+D2351+D2352</f>
        <v>11.666096290308094</v>
      </c>
      <c r="E2353" s="1"/>
      <c r="F2353" s="1"/>
      <c r="G2353" s="1"/>
      <c r="H2353" s="1"/>
    </row>
    <row r="2354" spans="2:8" ht="12.75">
      <c r="B2354" s="8" t="s">
        <v>51</v>
      </c>
      <c r="C2354" s="8">
        <v>5.19</v>
      </c>
      <c r="D2354" s="8">
        <f>C2354/371.1/12*1000</f>
        <v>1.165454055510644</v>
      </c>
      <c r="E2354" s="1"/>
      <c r="F2354" s="1"/>
      <c r="G2354" s="1"/>
      <c r="H2354" s="1"/>
    </row>
    <row r="2355" spans="2:8" ht="12.75">
      <c r="B2355" s="14" t="s">
        <v>31</v>
      </c>
      <c r="C2355" s="23">
        <f>C2353+C2354</f>
        <v>57.12599999999999</v>
      </c>
      <c r="D2355" s="23">
        <f>D2353+D2354</f>
        <v>12.831550345818737</v>
      </c>
      <c r="E2355" s="1"/>
      <c r="F2355" s="1"/>
      <c r="G2355" s="1"/>
      <c r="H2355" s="1"/>
    </row>
    <row r="2356" spans="2:8" ht="12.75">
      <c r="B2356" s="6" t="s">
        <v>34</v>
      </c>
      <c r="C2356" s="23">
        <f>C2355/C2340/12*1000</f>
        <v>12.828078684990565</v>
      </c>
      <c r="D2356" s="8"/>
      <c r="E2356" s="1"/>
      <c r="F2356" s="1"/>
      <c r="G2356" s="1"/>
      <c r="H2356" s="1"/>
    </row>
    <row r="2357" spans="2:8" ht="12.75">
      <c r="B2357" s="1"/>
      <c r="C2357" s="1"/>
      <c r="D2357" s="1"/>
      <c r="E2357" s="1"/>
      <c r="F2357" s="1"/>
      <c r="G2357" s="1"/>
      <c r="H2357" s="1"/>
    </row>
    <row r="2358" spans="2:8" ht="12.75">
      <c r="B2358" s="1" t="s">
        <v>52</v>
      </c>
      <c r="C2358" s="1"/>
      <c r="D2358" s="1"/>
      <c r="E2358" s="1"/>
      <c r="F2358" s="1"/>
      <c r="G2358" s="1"/>
      <c r="H2358" s="1"/>
    </row>
    <row r="2359" spans="2:8" ht="12.75">
      <c r="B2359" s="1"/>
      <c r="C2359" s="1"/>
      <c r="D2359" s="1"/>
      <c r="E2359" s="1"/>
      <c r="F2359" s="1"/>
      <c r="G2359" s="1"/>
      <c r="H2359" s="1"/>
    </row>
    <row r="2360" spans="2:8" ht="12.75">
      <c r="B2360" s="2" t="s">
        <v>0</v>
      </c>
      <c r="C2360" s="2"/>
      <c r="D2360" s="2"/>
      <c r="E2360" s="1"/>
      <c r="F2360" s="1"/>
      <c r="G2360" s="1"/>
      <c r="H2360" s="1"/>
    </row>
    <row r="2361" spans="2:8" ht="12.75">
      <c r="B2361" s="2" t="s">
        <v>65</v>
      </c>
      <c r="C2361" s="2"/>
      <c r="D2361" s="2"/>
      <c r="E2361" s="1"/>
      <c r="F2361" s="1"/>
      <c r="G2361" s="1"/>
      <c r="H2361" s="1"/>
    </row>
    <row r="2362" spans="2:8" ht="12.75">
      <c r="B2362" s="2" t="s">
        <v>156</v>
      </c>
      <c r="C2362" s="2"/>
      <c r="D2362" s="2"/>
      <c r="E2362" s="1"/>
      <c r="F2362" s="1"/>
      <c r="G2362" s="1"/>
      <c r="H2362" s="1"/>
    </row>
    <row r="2363" spans="2:8" ht="12.75">
      <c r="B2363" s="3"/>
      <c r="C2363" s="3"/>
      <c r="D2363" s="1"/>
      <c r="E2363" s="1"/>
      <c r="F2363" s="1"/>
      <c r="G2363" s="1"/>
      <c r="H2363" s="1"/>
    </row>
    <row r="2364" spans="2:8" ht="12.75">
      <c r="B2364" s="5" t="s">
        <v>4</v>
      </c>
      <c r="C2364" s="31" t="s">
        <v>40</v>
      </c>
      <c r="D2364" s="6" t="s">
        <v>41</v>
      </c>
      <c r="E2364" s="1"/>
      <c r="F2364" s="1"/>
      <c r="G2364" s="1"/>
      <c r="H2364" s="1"/>
    </row>
    <row r="2365" spans="2:8" ht="12.75">
      <c r="B2365" s="6"/>
      <c r="C2365" s="6"/>
      <c r="D2365" s="7"/>
      <c r="E2365" s="1"/>
      <c r="F2365" s="1"/>
      <c r="G2365" s="1"/>
      <c r="H2365" s="1"/>
    </row>
    <row r="2366" spans="2:8" ht="12.75">
      <c r="B2366" s="10" t="s">
        <v>42</v>
      </c>
      <c r="C2366" s="8">
        <v>887.6</v>
      </c>
      <c r="D2366" s="8"/>
      <c r="E2366" s="1"/>
      <c r="F2366" s="1"/>
      <c r="G2366" s="1"/>
      <c r="H2366" s="1"/>
    </row>
    <row r="2367" spans="2:8" ht="12.75">
      <c r="B2367" s="11" t="s">
        <v>13</v>
      </c>
      <c r="C2367" s="32">
        <v>18.2</v>
      </c>
      <c r="D2367" s="14">
        <f>C2367/887.6/12*1000</f>
        <v>1.7087276550998947</v>
      </c>
      <c r="E2367" s="1"/>
      <c r="F2367" s="1"/>
      <c r="G2367" s="1"/>
      <c r="H2367" s="1"/>
    </row>
    <row r="2368" spans="2:8" ht="12.75">
      <c r="B2368" s="15" t="s">
        <v>14</v>
      </c>
      <c r="C2368" s="9">
        <f>SUM(C2369:C2372)</f>
        <v>41.41</v>
      </c>
      <c r="D2368" s="9">
        <f>SUM(D2369:D2372)</f>
        <v>3.8878248460267386</v>
      </c>
      <c r="E2368" s="1"/>
      <c r="F2368" s="1"/>
      <c r="G2368" s="1"/>
      <c r="H2368" s="1"/>
    </row>
    <row r="2369" spans="2:8" ht="12.75">
      <c r="B2369" s="6" t="s">
        <v>43</v>
      </c>
      <c r="C2369" s="8">
        <f>6.92+9.37</f>
        <v>16.29</v>
      </c>
      <c r="D2369" s="8">
        <f>C2369/887.6/12*1000</f>
        <v>1.5294051374493012</v>
      </c>
      <c r="E2369" s="1"/>
      <c r="F2369" s="1"/>
      <c r="G2369" s="1"/>
      <c r="H2369" s="1"/>
    </row>
    <row r="2370" spans="2:8" ht="12.75">
      <c r="B2370" s="17" t="s">
        <v>44</v>
      </c>
      <c r="C2370" s="8">
        <v>7.84</v>
      </c>
      <c r="D2370" s="8">
        <f>C2370/887.6/12*1000</f>
        <v>0.7360672975814931</v>
      </c>
      <c r="E2370" s="1"/>
      <c r="F2370" s="1"/>
      <c r="G2370" s="1"/>
      <c r="H2370" s="1"/>
    </row>
    <row r="2371" spans="2:8" ht="12.75">
      <c r="B2371" s="6" t="s">
        <v>16</v>
      </c>
      <c r="C2371" s="8">
        <v>17.28</v>
      </c>
      <c r="D2371" s="8">
        <f>C2371/887.6/12*1000</f>
        <v>1.6223524109959442</v>
      </c>
      <c r="E2371" s="1"/>
      <c r="F2371" s="1"/>
      <c r="G2371" s="1"/>
      <c r="H2371" s="1"/>
    </row>
    <row r="2372" spans="2:8" ht="12.75">
      <c r="B2372" s="6" t="s">
        <v>64</v>
      </c>
      <c r="C2372" s="8"/>
      <c r="D2372" s="8">
        <f>C2372/887.6/12*1000</f>
        <v>0</v>
      </c>
      <c r="E2372" s="1"/>
      <c r="F2372" s="1"/>
      <c r="G2372" s="1"/>
      <c r="H2372" s="1"/>
    </row>
    <row r="2373" spans="2:8" ht="12.75">
      <c r="B2373" s="10" t="s">
        <v>19</v>
      </c>
      <c r="C2373" s="22">
        <f>SUM(C2374:C2378)</f>
        <v>47.66</v>
      </c>
      <c r="D2373" s="22">
        <f>SUM(D2374:D2378)</f>
        <v>4.47461318912423</v>
      </c>
      <c r="E2373" s="1"/>
      <c r="F2373" s="1"/>
      <c r="G2373" s="1"/>
      <c r="H2373" s="1"/>
    </row>
    <row r="2374" spans="2:8" ht="12.75">
      <c r="B2374" s="6" t="s">
        <v>45</v>
      </c>
      <c r="C2374" s="8">
        <f>33.76+6.82+3.42</f>
        <v>44</v>
      </c>
      <c r="D2374" s="8">
        <f>C2374/887.6/12*1000</f>
        <v>4.130989935406339</v>
      </c>
      <c r="E2374" s="1"/>
      <c r="F2374" s="1"/>
      <c r="G2374" s="1"/>
      <c r="H2374" s="1"/>
    </row>
    <row r="2375" spans="2:8" ht="12.75">
      <c r="B2375" s="6" t="s">
        <v>46</v>
      </c>
      <c r="C2375" s="8">
        <v>0</v>
      </c>
      <c r="D2375" s="8">
        <f>C2375/887.6/12*1000</f>
        <v>0</v>
      </c>
      <c r="E2375" s="1"/>
      <c r="F2375" s="1"/>
      <c r="G2375" s="1"/>
      <c r="H2375" s="1"/>
    </row>
    <row r="2376" spans="2:8" ht="12.75">
      <c r="B2376" s="20" t="s">
        <v>47</v>
      </c>
      <c r="C2376" s="8">
        <v>0.5</v>
      </c>
      <c r="D2376" s="8">
        <f>C2376/887.6/12*1000</f>
        <v>0.04694306744779931</v>
      </c>
      <c r="E2376" s="1"/>
      <c r="F2376" s="1"/>
      <c r="G2376" s="1"/>
      <c r="H2376" s="1"/>
    </row>
    <row r="2377" spans="2:8" ht="12.75">
      <c r="B2377" s="8" t="s">
        <v>48</v>
      </c>
      <c r="C2377" s="8">
        <v>2.39</v>
      </c>
      <c r="D2377" s="8">
        <f>C2377/887.6/12*1000</f>
        <v>0.22438786240048073</v>
      </c>
      <c r="E2377" s="1"/>
      <c r="F2377" s="1"/>
      <c r="G2377" s="1"/>
      <c r="H2377" s="1"/>
    </row>
    <row r="2378" spans="2:8" ht="12.75">
      <c r="B2378" s="8" t="s">
        <v>50</v>
      </c>
      <c r="C2378" s="8">
        <v>0.77</v>
      </c>
      <c r="D2378" s="8">
        <f>C2378/887.6/12*1000</f>
        <v>0.07229232386961094</v>
      </c>
      <c r="E2378" s="1"/>
      <c r="F2378" s="1"/>
      <c r="G2378" s="1"/>
      <c r="H2378" s="1"/>
    </row>
    <row r="2379" spans="2:8" ht="12.75">
      <c r="B2379" s="14" t="s">
        <v>27</v>
      </c>
      <c r="C2379" s="14">
        <f>13.24+2.07</f>
        <v>15.31</v>
      </c>
      <c r="D2379" s="14">
        <f>C2379/887.6/12*1000</f>
        <v>1.4373967252516147</v>
      </c>
      <c r="E2379" s="1"/>
      <c r="F2379" s="1"/>
      <c r="G2379" s="1"/>
      <c r="H2379" s="1"/>
    </row>
    <row r="2380" spans="2:8" ht="12.75">
      <c r="B2380" s="14"/>
      <c r="C2380" s="14"/>
      <c r="D2380" s="8"/>
      <c r="E2380" s="1"/>
      <c r="F2380" s="1"/>
      <c r="G2380" s="1"/>
      <c r="H2380" s="1"/>
    </row>
    <row r="2381" spans="2:8" ht="12.75">
      <c r="B2381" s="14" t="s">
        <v>29</v>
      </c>
      <c r="C2381" s="23">
        <f>C2367+C2368+C2373+C2379+C2380</f>
        <v>122.58</v>
      </c>
      <c r="D2381" s="23">
        <f>D2367+D2368+D2373+D2379+D2380</f>
        <v>11.508562415502478</v>
      </c>
      <c r="E2381" s="1"/>
      <c r="F2381" s="1"/>
      <c r="G2381" s="1"/>
      <c r="H2381" s="1"/>
    </row>
    <row r="2382" spans="2:8" ht="12.75">
      <c r="B2382" s="8" t="s">
        <v>51</v>
      </c>
      <c r="C2382" s="8">
        <v>12.26</v>
      </c>
      <c r="D2382" s="8">
        <f>C2382/887.6/12*1000</f>
        <v>1.151044013820039</v>
      </c>
      <c r="E2382" s="1"/>
      <c r="F2382" s="1"/>
      <c r="G2382" s="1"/>
      <c r="H2382" s="1"/>
    </row>
    <row r="2383" spans="2:8" ht="12.75">
      <c r="B2383" s="14" t="s">
        <v>31</v>
      </c>
      <c r="C2383" s="23">
        <f>C2381+C2382</f>
        <v>134.84</v>
      </c>
      <c r="D2383" s="23">
        <f>D2381+D2382</f>
        <v>12.659606429322517</v>
      </c>
      <c r="E2383" s="1"/>
      <c r="F2383" s="1"/>
      <c r="G2383" s="1"/>
      <c r="H2383" s="1"/>
    </row>
    <row r="2384" spans="2:8" ht="12.75">
      <c r="B2384" s="6" t="s">
        <v>34</v>
      </c>
      <c r="C2384" s="23">
        <f>C2383/C2366/12*1000</f>
        <v>12.659606429322517</v>
      </c>
      <c r="D2384" s="8"/>
      <c r="E2384" s="1"/>
      <c r="F2384" s="1"/>
      <c r="G2384" s="1"/>
      <c r="H2384" s="1"/>
    </row>
    <row r="2385" spans="2:8" ht="12.75">
      <c r="B2385" s="1"/>
      <c r="C2385" s="1"/>
      <c r="D2385" s="1"/>
      <c r="E2385" s="1"/>
      <c r="F2385" s="1"/>
      <c r="G2385" s="1"/>
      <c r="H2385" s="1"/>
    </row>
    <row r="2386" spans="2:8" ht="12.75">
      <c r="B2386" s="1" t="s">
        <v>52</v>
      </c>
      <c r="C2386" s="1"/>
      <c r="D2386" s="1"/>
      <c r="E2386" s="1"/>
      <c r="F2386" s="1"/>
      <c r="G2386" s="1"/>
      <c r="H2386" s="1"/>
    </row>
    <row r="2387" spans="2:8" ht="12.75">
      <c r="B2387" s="1"/>
      <c r="C2387" s="1"/>
      <c r="D2387" s="1"/>
      <c r="E2387" s="1"/>
      <c r="F2387" s="1"/>
      <c r="G2387" s="1"/>
      <c r="H2387" s="1"/>
    </row>
    <row r="2388" spans="2:8" ht="12.75">
      <c r="B2388" s="2" t="s">
        <v>0</v>
      </c>
      <c r="C2388" s="2"/>
      <c r="D2388" s="2"/>
      <c r="E2388" s="1"/>
      <c r="F2388" s="1"/>
      <c r="G2388" s="1"/>
      <c r="H2388" s="1"/>
    </row>
    <row r="2389" spans="2:8" ht="12.75">
      <c r="B2389" s="2" t="s">
        <v>65</v>
      </c>
      <c r="C2389" s="2"/>
      <c r="D2389" s="2"/>
      <c r="E2389" s="1"/>
      <c r="F2389" s="1"/>
      <c r="G2389" s="1"/>
      <c r="H2389" s="1"/>
    </row>
    <row r="2390" spans="2:8" ht="12.75">
      <c r="B2390" s="2" t="s">
        <v>157</v>
      </c>
      <c r="C2390" s="2"/>
      <c r="D2390" s="2"/>
      <c r="E2390" s="1"/>
      <c r="F2390" s="1"/>
      <c r="G2390" s="1"/>
      <c r="H2390" s="1"/>
    </row>
    <row r="2391" spans="2:8" ht="12.75">
      <c r="B2391" s="3"/>
      <c r="C2391" s="3"/>
      <c r="D2391" s="1"/>
      <c r="E2391" s="1"/>
      <c r="F2391" s="1"/>
      <c r="G2391" s="1"/>
      <c r="H2391" s="1"/>
    </row>
    <row r="2392" spans="2:8" ht="12.75">
      <c r="B2392" s="5" t="s">
        <v>4</v>
      </c>
      <c r="C2392" s="31" t="s">
        <v>40</v>
      </c>
      <c r="D2392" s="6" t="s">
        <v>41</v>
      </c>
      <c r="E2392" s="1"/>
      <c r="F2392" s="1"/>
      <c r="G2392" s="1"/>
      <c r="H2392" s="1"/>
    </row>
    <row r="2393" spans="2:8" ht="12.75">
      <c r="B2393" s="6"/>
      <c r="C2393" s="6"/>
      <c r="D2393" s="7"/>
      <c r="E2393" s="1"/>
      <c r="F2393" s="1"/>
      <c r="G2393" s="1"/>
      <c r="H2393" s="1"/>
    </row>
    <row r="2394" spans="2:8" ht="12.75">
      <c r="B2394" s="10" t="s">
        <v>42</v>
      </c>
      <c r="C2394" s="8">
        <v>1308.9</v>
      </c>
      <c r="D2394" s="8"/>
      <c r="E2394" s="1"/>
      <c r="F2394" s="1"/>
      <c r="G2394" s="1"/>
      <c r="H2394" s="1"/>
    </row>
    <row r="2395" spans="2:8" ht="12.75">
      <c r="B2395" s="11" t="s">
        <v>13</v>
      </c>
      <c r="C2395" s="32">
        <v>26.84</v>
      </c>
      <c r="D2395" s="14">
        <f>C2395/1308.9/12*1000</f>
        <v>1.7088140168589399</v>
      </c>
      <c r="E2395" s="1"/>
      <c r="F2395" s="1"/>
      <c r="G2395" s="1"/>
      <c r="H2395" s="1"/>
    </row>
    <row r="2396" spans="2:8" ht="12.75">
      <c r="B2396" s="15" t="s">
        <v>14</v>
      </c>
      <c r="C2396" s="9">
        <f>SUM(C2397:C2399)</f>
        <v>79.35</v>
      </c>
      <c r="D2396" s="9">
        <f>SUM(D2397:D2399)</f>
        <v>5.051952020780808</v>
      </c>
      <c r="E2396" s="1"/>
      <c r="F2396" s="1"/>
      <c r="G2396" s="1"/>
      <c r="H2396" s="1"/>
    </row>
    <row r="2397" spans="2:8" ht="12.75">
      <c r="B2397" s="6" t="s">
        <v>43</v>
      </c>
      <c r="C2397" s="8">
        <f>10.21+13.82</f>
        <v>24.03</v>
      </c>
      <c r="D2397" s="8">
        <f>C2397/1308.9/12*1000</f>
        <v>1.5299106119642447</v>
      </c>
      <c r="E2397" s="1"/>
      <c r="F2397" s="1"/>
      <c r="G2397" s="1"/>
      <c r="H2397" s="1"/>
    </row>
    <row r="2398" spans="2:8" ht="12.75">
      <c r="B2398" s="17" t="s">
        <v>44</v>
      </c>
      <c r="C2398" s="8">
        <v>11.56</v>
      </c>
      <c r="D2398" s="8">
        <f>C2398/1308.9/12*1000</f>
        <v>0.735986961061451</v>
      </c>
      <c r="E2398" s="1"/>
      <c r="F2398" s="1"/>
      <c r="G2398" s="1"/>
      <c r="H2398" s="1"/>
    </row>
    <row r="2399" spans="2:8" ht="12.75">
      <c r="B2399" s="6" t="s">
        <v>16</v>
      </c>
      <c r="C2399" s="8">
        <v>43.76</v>
      </c>
      <c r="D2399" s="8">
        <f>C2399/1308.9/12*1000</f>
        <v>2.786054447755112</v>
      </c>
      <c r="E2399" s="1"/>
      <c r="F2399" s="1"/>
      <c r="G2399" s="1"/>
      <c r="H2399" s="1"/>
    </row>
    <row r="2400" spans="2:8" ht="12.75">
      <c r="B2400" s="10" t="s">
        <v>19</v>
      </c>
      <c r="C2400" s="22">
        <f>SUM(C2401:C2405)</f>
        <v>51.99</v>
      </c>
      <c r="D2400" s="22">
        <f>SUM(D2401:D2405)</f>
        <v>3.310031324012529</v>
      </c>
      <c r="E2400" s="1"/>
      <c r="F2400" s="1"/>
      <c r="G2400" s="1"/>
      <c r="H2400" s="1"/>
    </row>
    <row r="2401" spans="2:8" ht="12.75">
      <c r="B2401" s="6" t="s">
        <v>45</v>
      </c>
      <c r="C2401" s="8">
        <f>36.2+7.31+3.66</f>
        <v>47.17</v>
      </c>
      <c r="D2401" s="8">
        <f>C2401/1308.9/12*1000</f>
        <v>3.0031578679298137</v>
      </c>
      <c r="E2401" s="1"/>
      <c r="F2401" s="1"/>
      <c r="G2401" s="1"/>
      <c r="H2401" s="1"/>
    </row>
    <row r="2402" spans="2:8" ht="12.75">
      <c r="B2402" s="6" t="s">
        <v>46</v>
      </c>
      <c r="C2402" s="8">
        <v>0</v>
      </c>
      <c r="D2402" s="8">
        <f>C2402/1308.9/12*1000</f>
        <v>0</v>
      </c>
      <c r="E2402" s="1"/>
      <c r="F2402" s="1"/>
      <c r="G2402" s="1"/>
      <c r="H2402" s="1"/>
    </row>
    <row r="2403" spans="2:8" ht="12.75">
      <c r="B2403" s="20" t="s">
        <v>47</v>
      </c>
      <c r="C2403" s="8">
        <v>0.78</v>
      </c>
      <c r="D2403" s="8">
        <f>C2403/1308.9/12*1000</f>
        <v>0.04966001986400794</v>
      </c>
      <c r="E2403" s="1"/>
      <c r="F2403" s="1"/>
      <c r="G2403" s="1"/>
      <c r="H2403" s="1"/>
    </row>
    <row r="2404" spans="2:8" ht="12.75">
      <c r="B2404" s="8" t="s">
        <v>48</v>
      </c>
      <c r="C2404" s="8">
        <v>3.19</v>
      </c>
      <c r="D2404" s="8">
        <f>C2404/1308.9/12*1000</f>
        <v>0.2030967479053658</v>
      </c>
      <c r="E2404" s="1"/>
      <c r="F2404" s="1"/>
      <c r="G2404" s="1"/>
      <c r="H2404" s="1"/>
    </row>
    <row r="2405" spans="2:8" ht="12.75">
      <c r="B2405" s="8" t="s">
        <v>50</v>
      </c>
      <c r="C2405" s="8">
        <v>0.85</v>
      </c>
      <c r="D2405" s="8">
        <f>C2405/1308.9/12*1000</f>
        <v>0.05411668831334198</v>
      </c>
      <c r="E2405" s="1"/>
      <c r="F2405" s="1"/>
      <c r="G2405" s="1"/>
      <c r="H2405" s="1"/>
    </row>
    <row r="2406" spans="2:8" ht="12.75">
      <c r="B2406" s="14" t="s">
        <v>27</v>
      </c>
      <c r="C2406" s="14">
        <f>19.53+3.05</f>
        <v>22.580000000000002</v>
      </c>
      <c r="D2406" s="14">
        <f>C2406/1308.9/12*1000</f>
        <v>1.4375939083708968</v>
      </c>
      <c r="E2406" s="1"/>
      <c r="F2406" s="1"/>
      <c r="G2406" s="1"/>
      <c r="H2406" s="1"/>
    </row>
    <row r="2407" spans="2:8" ht="12.75">
      <c r="B2407" s="14"/>
      <c r="C2407" s="14"/>
      <c r="D2407" s="8"/>
      <c r="E2407" s="1"/>
      <c r="F2407" s="1"/>
      <c r="G2407" s="1"/>
      <c r="H2407" s="1"/>
    </row>
    <row r="2408" spans="2:8" ht="12.75">
      <c r="B2408" s="14" t="s">
        <v>29</v>
      </c>
      <c r="C2408" s="23">
        <f>C2395+C2396+C2400+C2406+C2407</f>
        <v>180.76000000000002</v>
      </c>
      <c r="D2408" s="23">
        <f>D2395+D2396+D2400+D2406+D2407</f>
        <v>11.508391270023173</v>
      </c>
      <c r="E2408" s="1"/>
      <c r="F2408" s="1"/>
      <c r="G2408" s="1"/>
      <c r="H2408" s="1"/>
    </row>
    <row r="2409" spans="2:8" ht="12.75">
      <c r="B2409" s="8" t="s">
        <v>51</v>
      </c>
      <c r="C2409" s="8">
        <v>18.08</v>
      </c>
      <c r="D2409" s="8">
        <f>C2409/1308.9/12*1000</f>
        <v>1.1510937937708507</v>
      </c>
      <c r="E2409" s="1"/>
      <c r="F2409" s="1"/>
      <c r="G2409" s="1"/>
      <c r="H2409" s="1"/>
    </row>
    <row r="2410" spans="2:8" ht="12.75">
      <c r="B2410" s="14" t="s">
        <v>31</v>
      </c>
      <c r="C2410" s="23">
        <f>C2408+C2409</f>
        <v>198.84000000000003</v>
      </c>
      <c r="D2410" s="23">
        <f>D2408+D2409</f>
        <v>12.659485063794024</v>
      </c>
      <c r="E2410" s="1"/>
      <c r="F2410" s="1"/>
      <c r="G2410" s="1"/>
      <c r="H2410" s="1"/>
    </row>
    <row r="2411" spans="2:8" ht="12.75">
      <c r="B2411" s="6" t="s">
        <v>34</v>
      </c>
      <c r="C2411" s="23">
        <f>C2410/C2394/12*1000</f>
        <v>12.659485063794026</v>
      </c>
      <c r="D2411" s="8"/>
      <c r="E2411" s="1"/>
      <c r="F2411" s="1"/>
      <c r="G2411" s="1"/>
      <c r="H2411" s="1"/>
    </row>
    <row r="2412" spans="2:8" ht="12.75">
      <c r="B2412" s="1"/>
      <c r="C2412" s="1"/>
      <c r="D2412" s="1"/>
      <c r="E2412" s="1"/>
      <c r="F2412" s="1"/>
      <c r="G2412" s="1"/>
      <c r="H2412" s="1"/>
    </row>
    <row r="2413" spans="2:8" ht="12.75">
      <c r="B2413" s="1" t="s">
        <v>52</v>
      </c>
      <c r="C2413" s="1"/>
      <c r="D2413" s="1"/>
      <c r="E2413" s="1"/>
      <c r="F2413" s="1"/>
      <c r="G2413" s="1"/>
      <c r="H2413" s="1"/>
    </row>
    <row r="2414" spans="2:8" ht="12.75">
      <c r="B2414" s="1"/>
      <c r="C2414" s="1"/>
      <c r="D2414" s="1"/>
      <c r="E2414" s="1"/>
      <c r="F2414" s="1"/>
      <c r="G2414" s="1"/>
      <c r="H2414" s="1"/>
    </row>
    <row r="2415" spans="2:8" ht="12.75">
      <c r="B2415" s="2" t="s">
        <v>0</v>
      </c>
      <c r="C2415" s="2"/>
      <c r="D2415" s="2"/>
      <c r="E2415" s="1"/>
      <c r="F2415" s="1"/>
      <c r="G2415" s="1"/>
      <c r="H2415" s="1"/>
    </row>
    <row r="2416" spans="2:8" ht="12.75">
      <c r="B2416" s="2" t="s">
        <v>65</v>
      </c>
      <c r="C2416" s="2"/>
      <c r="D2416" s="2"/>
      <c r="E2416" s="1"/>
      <c r="F2416" s="1"/>
      <c r="G2416" s="1"/>
      <c r="H2416" s="1"/>
    </row>
    <row r="2417" spans="2:8" ht="12.75">
      <c r="B2417" s="2" t="s">
        <v>158</v>
      </c>
      <c r="C2417" s="2"/>
      <c r="D2417" s="2"/>
      <c r="E2417" s="1"/>
      <c r="F2417" s="1"/>
      <c r="G2417" s="1"/>
      <c r="H2417" s="1"/>
    </row>
    <row r="2418" spans="2:8" ht="12.75">
      <c r="B2418" s="3"/>
      <c r="C2418" s="3"/>
      <c r="D2418" s="1"/>
      <c r="E2418" s="1"/>
      <c r="F2418" s="1"/>
      <c r="G2418" s="1"/>
      <c r="H2418" s="1"/>
    </row>
    <row r="2419" spans="2:8" ht="12.75">
      <c r="B2419" s="5" t="s">
        <v>4</v>
      </c>
      <c r="C2419" s="31" t="s">
        <v>40</v>
      </c>
      <c r="D2419" s="6" t="s">
        <v>41</v>
      </c>
      <c r="E2419" s="1"/>
      <c r="F2419" s="1"/>
      <c r="G2419" s="1"/>
      <c r="H2419" s="1"/>
    </row>
    <row r="2420" spans="2:8" ht="12.75">
      <c r="B2420" s="6"/>
      <c r="C2420" s="6"/>
      <c r="D2420" s="7"/>
      <c r="E2420" s="1"/>
      <c r="F2420" s="1"/>
      <c r="G2420" s="1"/>
      <c r="H2420" s="1"/>
    </row>
    <row r="2421" spans="2:8" ht="12.75">
      <c r="B2421" s="10" t="s">
        <v>42</v>
      </c>
      <c r="C2421" s="8">
        <v>330.8</v>
      </c>
      <c r="D2421" s="8"/>
      <c r="E2421" s="1"/>
      <c r="F2421" s="1"/>
      <c r="G2421" s="1"/>
      <c r="H2421" s="1"/>
    </row>
    <row r="2422" spans="2:8" ht="12.75">
      <c r="B2422" s="11" t="s">
        <v>13</v>
      </c>
      <c r="C2422" s="32">
        <v>6.78</v>
      </c>
      <c r="D2422" s="14">
        <f>C2422/330.8/12*1000</f>
        <v>1.7079806529625152</v>
      </c>
      <c r="E2422" s="1"/>
      <c r="F2422" s="1"/>
      <c r="G2422" s="1"/>
      <c r="H2422" s="1"/>
    </row>
    <row r="2423" spans="2:8" ht="12.75">
      <c r="B2423" s="15" t="s">
        <v>14</v>
      </c>
      <c r="C2423" s="9">
        <f>SUM(C2424:C2426)</f>
        <v>23</v>
      </c>
      <c r="D2423" s="9">
        <f>SUM(D2424:D2426)</f>
        <v>5.794034663442162</v>
      </c>
      <c r="E2423" s="1"/>
      <c r="F2423" s="1"/>
      <c r="G2423" s="1"/>
      <c r="H2423" s="1"/>
    </row>
    <row r="2424" spans="2:8" ht="12.75">
      <c r="B2424" s="6" t="s">
        <v>43</v>
      </c>
      <c r="C2424" s="8">
        <f>2.58+3.49</f>
        <v>6.07</v>
      </c>
      <c r="D2424" s="8">
        <f>C2424/330.8/12*1000</f>
        <v>1.5291213220475617</v>
      </c>
      <c r="E2424" s="1"/>
      <c r="F2424" s="1"/>
      <c r="G2424" s="1"/>
      <c r="H2424" s="1"/>
    </row>
    <row r="2425" spans="2:8" ht="12.75">
      <c r="B2425" s="17" t="s">
        <v>44</v>
      </c>
      <c r="C2425" s="8">
        <v>2.92</v>
      </c>
      <c r="D2425" s="8">
        <f>C2425/330.8/12*1000</f>
        <v>0.73559048770657</v>
      </c>
      <c r="E2425" s="1"/>
      <c r="F2425" s="1"/>
      <c r="G2425" s="1"/>
      <c r="H2425" s="1"/>
    </row>
    <row r="2426" spans="2:8" ht="12.75">
      <c r="B2426" s="6" t="s">
        <v>16</v>
      </c>
      <c r="C2426" s="8">
        <v>14.01</v>
      </c>
      <c r="D2426" s="8">
        <f>C2426/330.8/12*1000</f>
        <v>3.5293228536880292</v>
      </c>
      <c r="E2426" s="1"/>
      <c r="F2426" s="1"/>
      <c r="G2426" s="1"/>
      <c r="H2426" s="1"/>
    </row>
    <row r="2427" spans="2:8" ht="12.75">
      <c r="B2427" s="10" t="s">
        <v>19</v>
      </c>
      <c r="C2427" s="22">
        <f>SUM(C2428:C2432)</f>
        <v>10.19</v>
      </c>
      <c r="D2427" s="22">
        <f>SUM(D2428:D2432)</f>
        <v>2.5670092704554612</v>
      </c>
      <c r="E2427" s="1"/>
      <c r="F2427" s="1"/>
      <c r="G2427" s="1"/>
      <c r="H2427" s="1"/>
    </row>
    <row r="2428" spans="2:8" ht="12.75">
      <c r="B2428" s="6" t="s">
        <v>45</v>
      </c>
      <c r="C2428" s="8">
        <f>6.73+1.36+0.68</f>
        <v>8.77</v>
      </c>
      <c r="D2428" s="8">
        <f>C2428/330.8/12*1000</f>
        <v>2.209290608625554</v>
      </c>
      <c r="E2428" s="1"/>
      <c r="F2428" s="1"/>
      <c r="G2428" s="1"/>
      <c r="H2428" s="1"/>
    </row>
    <row r="2429" spans="2:8" ht="12.75">
      <c r="B2429" s="6" t="s">
        <v>46</v>
      </c>
      <c r="C2429" s="8">
        <v>0</v>
      </c>
      <c r="D2429" s="8">
        <f>C2429/330.8/12*1000</f>
        <v>0</v>
      </c>
      <c r="E2429" s="1"/>
      <c r="F2429" s="1"/>
      <c r="G2429" s="1"/>
      <c r="H2429" s="1"/>
    </row>
    <row r="2430" spans="2:8" ht="12.75">
      <c r="B2430" s="20" t="s">
        <v>47</v>
      </c>
      <c r="C2430" s="8">
        <v>0.06</v>
      </c>
      <c r="D2430" s="8">
        <f>C2430/330.8/12*1000</f>
        <v>0.015114873035066504</v>
      </c>
      <c r="E2430" s="1"/>
      <c r="F2430" s="1"/>
      <c r="G2430" s="1"/>
      <c r="H2430" s="1"/>
    </row>
    <row r="2431" spans="2:8" ht="12.75">
      <c r="B2431" s="8" t="s">
        <v>48</v>
      </c>
      <c r="C2431" s="8">
        <v>1.06</v>
      </c>
      <c r="D2431" s="8">
        <f>C2431/330.8/12*1000</f>
        <v>0.26702942361950827</v>
      </c>
      <c r="E2431" s="1"/>
      <c r="F2431" s="1"/>
      <c r="G2431" s="1"/>
      <c r="H2431" s="1"/>
    </row>
    <row r="2432" spans="2:8" ht="12.75">
      <c r="B2432" s="8" t="s">
        <v>50</v>
      </c>
      <c r="C2432" s="8">
        <v>0.30000000000000004</v>
      </c>
      <c r="D2432" s="8">
        <f>C2432/330.8/12*1000</f>
        <v>0.07557436517533253</v>
      </c>
      <c r="E2432" s="1"/>
      <c r="F2432" s="1"/>
      <c r="G2432" s="1"/>
      <c r="H2432" s="1"/>
    </row>
    <row r="2433" spans="2:8" ht="12.75">
      <c r="B2433" s="14" t="s">
        <v>27</v>
      </c>
      <c r="C2433" s="14">
        <f>4.94+0.77</f>
        <v>5.710000000000001</v>
      </c>
      <c r="D2433" s="14">
        <f>C2433/330.8/12*1000</f>
        <v>1.4384320838371627</v>
      </c>
      <c r="E2433" s="1"/>
      <c r="F2433" s="1"/>
      <c r="G2433" s="1"/>
      <c r="H2433" s="1"/>
    </row>
    <row r="2434" spans="2:8" ht="12.75">
      <c r="B2434" s="14"/>
      <c r="C2434" s="14"/>
      <c r="D2434" s="8"/>
      <c r="E2434" s="1"/>
      <c r="F2434" s="1"/>
      <c r="G2434" s="1"/>
      <c r="H2434" s="1"/>
    </row>
    <row r="2435" spans="2:8" ht="12.75">
      <c r="B2435" s="14" t="s">
        <v>29</v>
      </c>
      <c r="C2435" s="23">
        <f>C2422+C2423+C2427+C2433+C2434</f>
        <v>45.68</v>
      </c>
      <c r="D2435" s="23">
        <f>D2422+D2423+D2427+D2433+D2434</f>
        <v>11.507456670697302</v>
      </c>
      <c r="E2435" s="1"/>
      <c r="F2435" s="1"/>
      <c r="G2435" s="1"/>
      <c r="H2435" s="1"/>
    </row>
    <row r="2436" spans="2:8" ht="12.75">
      <c r="B2436" s="8" t="s">
        <v>51</v>
      </c>
      <c r="C2436" s="8">
        <v>4.57</v>
      </c>
      <c r="D2436" s="8">
        <f>C2436/330.8/12*1000</f>
        <v>1.1512494961708988</v>
      </c>
      <c r="E2436" s="1"/>
      <c r="F2436" s="1"/>
      <c r="G2436" s="1"/>
      <c r="H2436" s="1"/>
    </row>
    <row r="2437" spans="2:8" ht="12.75">
      <c r="B2437" s="14" t="s">
        <v>31</v>
      </c>
      <c r="C2437" s="23">
        <f>C2435+C2436</f>
        <v>50.25</v>
      </c>
      <c r="D2437" s="23">
        <f>D2435+D2436</f>
        <v>12.6587061668682</v>
      </c>
      <c r="E2437" s="1"/>
      <c r="F2437" s="1"/>
      <c r="G2437" s="1"/>
      <c r="H2437" s="1"/>
    </row>
    <row r="2438" spans="2:8" ht="12.75">
      <c r="B2438" s="6" t="s">
        <v>34</v>
      </c>
      <c r="C2438" s="23">
        <f>C2437/C2421/12*1000</f>
        <v>12.658706166868198</v>
      </c>
      <c r="D2438" s="8"/>
      <c r="E2438" s="1"/>
      <c r="F2438" s="1"/>
      <c r="G2438" s="1"/>
      <c r="H2438" s="1"/>
    </row>
    <row r="2439" spans="2:8" ht="12.75">
      <c r="B2439" s="1"/>
      <c r="C2439" s="1"/>
      <c r="D2439" s="1"/>
      <c r="E2439" s="1"/>
      <c r="F2439" s="1"/>
      <c r="G2439" s="1"/>
      <c r="H2439" s="1"/>
    </row>
    <row r="2440" spans="2:8" ht="12.75">
      <c r="B2440" s="1" t="s">
        <v>52</v>
      </c>
      <c r="C2440" s="1"/>
      <c r="D2440" s="1"/>
      <c r="E2440" s="1"/>
      <c r="F2440" s="1"/>
      <c r="G2440" s="1"/>
      <c r="H2440" s="1"/>
    </row>
    <row r="2441" spans="2:8" ht="12.75">
      <c r="B2441" s="1"/>
      <c r="C2441" s="1"/>
      <c r="D2441" s="1"/>
      <c r="E2441" s="1"/>
      <c r="F2441" s="1"/>
      <c r="G2441" s="1"/>
      <c r="H2441" s="1"/>
    </row>
    <row r="2442" spans="2:8" ht="12.75">
      <c r="B2442" s="2" t="s">
        <v>0</v>
      </c>
      <c r="C2442" s="2"/>
      <c r="D2442" s="2"/>
      <c r="E2442" s="1"/>
      <c r="F2442" s="1"/>
      <c r="G2442" s="1"/>
      <c r="H2442" s="1"/>
    </row>
    <row r="2443" spans="2:8" ht="12.75">
      <c r="B2443" s="2" t="s">
        <v>65</v>
      </c>
      <c r="C2443" s="2"/>
      <c r="D2443" s="2"/>
      <c r="E2443" s="1"/>
      <c r="F2443" s="1"/>
      <c r="G2443" s="1"/>
      <c r="H2443" s="1"/>
    </row>
    <row r="2444" spans="2:8" ht="12.75">
      <c r="B2444" s="2" t="s">
        <v>159</v>
      </c>
      <c r="C2444" s="2"/>
      <c r="D2444" s="2"/>
      <c r="E2444" s="1"/>
      <c r="F2444" s="1"/>
      <c r="G2444" s="1"/>
      <c r="H2444" s="1"/>
    </row>
    <row r="2445" spans="2:8" ht="12.75">
      <c r="B2445" s="3"/>
      <c r="C2445" s="3"/>
      <c r="D2445" s="1"/>
      <c r="E2445" s="1"/>
      <c r="F2445" s="1"/>
      <c r="G2445" s="1"/>
      <c r="H2445" s="1"/>
    </row>
    <row r="2446" spans="2:8" ht="12.75">
      <c r="B2446" s="5" t="s">
        <v>4</v>
      </c>
      <c r="C2446" s="31" t="s">
        <v>40</v>
      </c>
      <c r="D2446" s="6" t="s">
        <v>41</v>
      </c>
      <c r="E2446" s="1"/>
      <c r="F2446" s="1"/>
      <c r="G2446" s="1"/>
      <c r="H2446" s="1"/>
    </row>
    <row r="2447" spans="2:8" ht="12.75">
      <c r="B2447" s="6"/>
      <c r="C2447" s="6"/>
      <c r="D2447" s="7"/>
      <c r="E2447" s="1"/>
      <c r="F2447" s="1"/>
      <c r="G2447" s="1"/>
      <c r="H2447" s="1"/>
    </row>
    <row r="2448" spans="2:8" ht="12.75">
      <c r="B2448" s="10" t="s">
        <v>42</v>
      </c>
      <c r="C2448" s="8">
        <v>360</v>
      </c>
      <c r="D2448" s="8"/>
      <c r="E2448" s="1"/>
      <c r="F2448" s="1"/>
      <c r="G2448" s="1"/>
      <c r="H2448" s="1"/>
    </row>
    <row r="2449" spans="2:8" ht="12.75">
      <c r="B2449" s="11" t="s">
        <v>13</v>
      </c>
      <c r="C2449" s="32">
        <v>7.38</v>
      </c>
      <c r="D2449" s="14">
        <f>C2449/360/12*1000</f>
        <v>1.7083333333333335</v>
      </c>
      <c r="E2449" s="1"/>
      <c r="F2449" s="1"/>
      <c r="G2449" s="1"/>
      <c r="H2449" s="1"/>
    </row>
    <row r="2450" spans="2:8" ht="12.75">
      <c r="B2450" s="15" t="s">
        <v>14</v>
      </c>
      <c r="C2450" s="9">
        <f>SUM(C2451:C2453)</f>
        <v>24.99</v>
      </c>
      <c r="D2450" s="9">
        <f>SUM(D2451:D2453)</f>
        <v>5.784722222222222</v>
      </c>
      <c r="E2450" s="1"/>
      <c r="F2450" s="1"/>
      <c r="G2450" s="1"/>
      <c r="H2450" s="1"/>
    </row>
    <row r="2451" spans="2:8" ht="12.75">
      <c r="B2451" s="6" t="s">
        <v>43</v>
      </c>
      <c r="C2451" s="8">
        <f>2.81+3.8</f>
        <v>6.609999999999999</v>
      </c>
      <c r="D2451" s="8">
        <f>C2451/360/12*1000</f>
        <v>1.5300925925925923</v>
      </c>
      <c r="E2451" s="1"/>
      <c r="F2451" s="1"/>
      <c r="G2451" s="1"/>
      <c r="H2451" s="1"/>
    </row>
    <row r="2452" spans="2:8" ht="12.75">
      <c r="B2452" s="17" t="s">
        <v>44</v>
      </c>
      <c r="C2452" s="8">
        <v>3.18</v>
      </c>
      <c r="D2452" s="8">
        <f>C2452/360/12*1000</f>
        <v>0.736111111111111</v>
      </c>
      <c r="E2452" s="1"/>
      <c r="F2452" s="1"/>
      <c r="G2452" s="1"/>
      <c r="H2452" s="1"/>
    </row>
    <row r="2453" spans="2:8" ht="12.75">
      <c r="B2453" s="6" t="s">
        <v>16</v>
      </c>
      <c r="C2453" s="8">
        <v>15.2</v>
      </c>
      <c r="D2453" s="8">
        <f>C2453/360/12*1000</f>
        <v>3.5185185185185186</v>
      </c>
      <c r="E2453" s="1"/>
      <c r="F2453" s="1"/>
      <c r="G2453" s="1"/>
      <c r="H2453" s="1"/>
    </row>
    <row r="2454" spans="2:8" ht="12.75">
      <c r="B2454" s="10" t="s">
        <v>19</v>
      </c>
      <c r="C2454" s="22">
        <f>SUM(C2455:C2459)</f>
        <v>11.129999999999999</v>
      </c>
      <c r="D2454" s="22">
        <f>SUM(D2455:D2459)</f>
        <v>2.5763888888888884</v>
      </c>
      <c r="E2454" s="1"/>
      <c r="F2454" s="1"/>
      <c r="G2454" s="1"/>
      <c r="H2454" s="1"/>
    </row>
    <row r="2455" spans="2:8" ht="12.75">
      <c r="B2455" s="6" t="s">
        <v>45</v>
      </c>
      <c r="C2455" s="8">
        <f>7.43+1.5+0.75</f>
        <v>9.68</v>
      </c>
      <c r="D2455" s="8">
        <f>C2455/360/12*1000</f>
        <v>2.2407407407407405</v>
      </c>
      <c r="E2455" s="1"/>
      <c r="F2455" s="1"/>
      <c r="G2455" s="1"/>
      <c r="H2455" s="1"/>
    </row>
    <row r="2456" spans="2:8" ht="12.75">
      <c r="B2456" s="6" t="s">
        <v>46</v>
      </c>
      <c r="C2456" s="8">
        <v>0</v>
      </c>
      <c r="D2456" s="8">
        <f>C2456/360/12*1000</f>
        <v>0</v>
      </c>
      <c r="E2456" s="1"/>
      <c r="F2456" s="1"/>
      <c r="G2456" s="1"/>
      <c r="H2456" s="1"/>
    </row>
    <row r="2457" spans="2:8" ht="12.75">
      <c r="B2457" s="20" t="s">
        <v>47</v>
      </c>
      <c r="C2457" s="8">
        <v>0.09</v>
      </c>
      <c r="D2457" s="8">
        <f>C2457/360/12*1000</f>
        <v>0.020833333333333332</v>
      </c>
      <c r="E2457" s="1"/>
      <c r="F2457" s="1"/>
      <c r="G2457" s="1"/>
      <c r="H2457" s="1"/>
    </row>
    <row r="2458" spans="2:8" ht="12.75">
      <c r="B2458" s="8" t="s">
        <v>48</v>
      </c>
      <c r="C2458" s="8">
        <v>1.06</v>
      </c>
      <c r="D2458" s="8">
        <f>C2458/360/12*1000</f>
        <v>0.24537037037037035</v>
      </c>
      <c r="E2458" s="1"/>
      <c r="F2458" s="1"/>
      <c r="G2458" s="1"/>
      <c r="H2458" s="1"/>
    </row>
    <row r="2459" spans="2:8" ht="12.75">
      <c r="B2459" s="8" t="s">
        <v>50</v>
      </c>
      <c r="C2459" s="8">
        <v>0.30000000000000004</v>
      </c>
      <c r="D2459" s="8">
        <f>C2459/360/12*1000</f>
        <v>0.06944444444444446</v>
      </c>
      <c r="E2459" s="1"/>
      <c r="F2459" s="1"/>
      <c r="G2459" s="1"/>
      <c r="H2459" s="1"/>
    </row>
    <row r="2460" spans="2:8" ht="12.75">
      <c r="B2460" s="14" t="s">
        <v>27</v>
      </c>
      <c r="C2460" s="14">
        <f>5.37+0.84</f>
        <v>6.21</v>
      </c>
      <c r="D2460" s="14">
        <f>C2460/360/12*1000</f>
        <v>1.4375000000000002</v>
      </c>
      <c r="E2460" s="1"/>
      <c r="F2460" s="1"/>
      <c r="G2460" s="1"/>
      <c r="H2460" s="1"/>
    </row>
    <row r="2461" spans="2:8" ht="12.75">
      <c r="B2461" s="14"/>
      <c r="C2461" s="14"/>
      <c r="D2461" s="8"/>
      <c r="E2461" s="1"/>
      <c r="F2461" s="1"/>
      <c r="G2461" s="1"/>
      <c r="H2461" s="1"/>
    </row>
    <row r="2462" spans="2:8" ht="12.75">
      <c r="B2462" s="14" t="s">
        <v>29</v>
      </c>
      <c r="C2462" s="23">
        <f>C2449+C2450+C2454+C2460+C2461</f>
        <v>49.71</v>
      </c>
      <c r="D2462" s="23">
        <f>D2449+D2450+D2454+D2460+D2461</f>
        <v>11.506944444444443</v>
      </c>
      <c r="E2462" s="1"/>
      <c r="F2462" s="1"/>
      <c r="G2462" s="1"/>
      <c r="H2462" s="1"/>
    </row>
    <row r="2463" spans="2:8" ht="12.75">
      <c r="B2463" s="8" t="s">
        <v>51</v>
      </c>
      <c r="C2463" s="8">
        <v>4.97</v>
      </c>
      <c r="D2463" s="8">
        <f>C2463/360/12*1000</f>
        <v>1.150462962962963</v>
      </c>
      <c r="E2463" s="1"/>
      <c r="F2463" s="1"/>
      <c r="G2463" s="1"/>
      <c r="H2463" s="1"/>
    </row>
    <row r="2464" spans="2:8" ht="12.75">
      <c r="B2464" s="14" t="s">
        <v>31</v>
      </c>
      <c r="C2464" s="23">
        <f>C2462+C2463</f>
        <v>54.68</v>
      </c>
      <c r="D2464" s="23">
        <f>D2462+D2463</f>
        <v>12.657407407407407</v>
      </c>
      <c r="E2464" s="1"/>
      <c r="F2464" s="1"/>
      <c r="G2464" s="1"/>
      <c r="H2464" s="1"/>
    </row>
    <row r="2465" spans="2:8" ht="12.75">
      <c r="B2465" s="6" t="s">
        <v>34</v>
      </c>
      <c r="C2465" s="23">
        <f>C2464/C2448/12*1000</f>
        <v>12.657407407407407</v>
      </c>
      <c r="D2465" s="8"/>
      <c r="E2465" s="1"/>
      <c r="F2465" s="1"/>
      <c r="G2465" s="1"/>
      <c r="H2465" s="1"/>
    </row>
    <row r="2466" spans="2:8" ht="12.75">
      <c r="B2466" s="1"/>
      <c r="C2466" s="1"/>
      <c r="D2466" s="1"/>
      <c r="E2466" s="1"/>
      <c r="F2466" s="1"/>
      <c r="G2466" s="1"/>
      <c r="H2466" s="1"/>
    </row>
    <row r="2467" spans="2:8" ht="12.75">
      <c r="B2467" s="1" t="s">
        <v>52</v>
      </c>
      <c r="C2467" s="1"/>
      <c r="D2467" s="1"/>
      <c r="E2467" s="1"/>
      <c r="F2467" s="1"/>
      <c r="G2467" s="1"/>
      <c r="H2467" s="1"/>
    </row>
    <row r="2468" spans="2:8" ht="12.75">
      <c r="B2468" s="1"/>
      <c r="C2468" s="1"/>
      <c r="D2468" s="1"/>
      <c r="E2468" s="1"/>
      <c r="F2468" s="1"/>
      <c r="G2468" s="1"/>
      <c r="H2468" s="1"/>
    </row>
    <row r="2469" spans="2:8" ht="12.75">
      <c r="B2469" s="1"/>
      <c r="C2469" s="1"/>
      <c r="D2469" s="1"/>
      <c r="E2469" s="1"/>
      <c r="F2469" s="1"/>
      <c r="G2469" s="1"/>
      <c r="H2469" s="1"/>
    </row>
    <row r="2470" spans="2:8" ht="12.75">
      <c r="B2470" s="1"/>
      <c r="C2470" s="1"/>
      <c r="D2470" s="1"/>
      <c r="E2470" s="1"/>
      <c r="F2470" s="1"/>
      <c r="G2470" s="1"/>
      <c r="H2470" s="1"/>
    </row>
    <row r="2471" spans="2:8" ht="12.75">
      <c r="B2471" s="2" t="s">
        <v>0</v>
      </c>
      <c r="C2471" s="2"/>
      <c r="D2471" s="2"/>
      <c r="E2471" s="1"/>
      <c r="F2471" s="1"/>
      <c r="G2471" s="1"/>
      <c r="H2471" s="1"/>
    </row>
    <row r="2472" spans="2:8" ht="12.75">
      <c r="B2472" s="2" t="s">
        <v>65</v>
      </c>
      <c r="C2472" s="2"/>
      <c r="D2472" s="2"/>
      <c r="E2472" s="1"/>
      <c r="F2472" s="1"/>
      <c r="G2472" s="1"/>
      <c r="H2472" s="1"/>
    </row>
    <row r="2473" spans="2:8" ht="12.75">
      <c r="B2473" s="2" t="s">
        <v>160</v>
      </c>
      <c r="C2473" s="2"/>
      <c r="D2473" s="2"/>
      <c r="E2473" s="1"/>
      <c r="F2473" s="1"/>
      <c r="G2473" s="1"/>
      <c r="H2473" s="1"/>
    </row>
    <row r="2474" spans="2:8" ht="12.75">
      <c r="B2474" s="3"/>
      <c r="C2474" s="3"/>
      <c r="D2474" s="1"/>
      <c r="E2474" s="1"/>
      <c r="F2474" s="1"/>
      <c r="G2474" s="1"/>
      <c r="H2474" s="1"/>
    </row>
    <row r="2475" spans="2:8" ht="12.75">
      <c r="B2475" s="5" t="s">
        <v>4</v>
      </c>
      <c r="C2475" s="31" t="s">
        <v>40</v>
      </c>
      <c r="D2475" s="6" t="s">
        <v>41</v>
      </c>
      <c r="E2475" s="1"/>
      <c r="F2475" s="1"/>
      <c r="G2475" s="1"/>
      <c r="H2475" s="1"/>
    </row>
    <row r="2476" spans="2:8" ht="12.75">
      <c r="B2476" s="6"/>
      <c r="C2476" s="6"/>
      <c r="D2476" s="7"/>
      <c r="E2476" s="1"/>
      <c r="F2476" s="1"/>
      <c r="G2476" s="1"/>
      <c r="H2476" s="1"/>
    </row>
    <row r="2477" spans="2:8" ht="12.75">
      <c r="B2477" s="10" t="s">
        <v>42</v>
      </c>
      <c r="C2477" s="8">
        <v>377.62</v>
      </c>
      <c r="D2477" s="8"/>
      <c r="E2477" s="1"/>
      <c r="F2477" s="1"/>
      <c r="G2477" s="1"/>
      <c r="H2477" s="1"/>
    </row>
    <row r="2478" spans="2:8" ht="12.75">
      <c r="B2478" s="11" t="s">
        <v>13</v>
      </c>
      <c r="C2478" s="32">
        <v>7.74</v>
      </c>
      <c r="D2478" s="14">
        <f>C2478/377.62/12*1000</f>
        <v>1.7080663100471374</v>
      </c>
      <c r="E2478" s="1"/>
      <c r="F2478" s="1"/>
      <c r="G2478" s="1"/>
      <c r="H2478" s="1"/>
    </row>
    <row r="2479" spans="2:8" ht="12.75">
      <c r="B2479" s="15" t="s">
        <v>14</v>
      </c>
      <c r="C2479" s="9">
        <f>SUM(C2480:C2482)</f>
        <v>27.18</v>
      </c>
      <c r="D2479" s="57">
        <f>SUM(D2480:D2482)</f>
        <v>5.998093321328319</v>
      </c>
      <c r="E2479" s="1"/>
      <c r="F2479" s="1"/>
      <c r="G2479" s="1"/>
      <c r="H2479" s="1"/>
    </row>
    <row r="2480" spans="2:8" ht="12.75">
      <c r="B2480" s="6" t="s">
        <v>43</v>
      </c>
      <c r="C2480" s="8">
        <f>2.95+3.99</f>
        <v>6.94</v>
      </c>
      <c r="D2480" s="14">
        <f>C2480/377.62/12*1000</f>
        <v>1.531521988595237</v>
      </c>
      <c r="E2480" s="1"/>
      <c r="F2480" s="1"/>
      <c r="G2480" s="1"/>
      <c r="H2480" s="1"/>
    </row>
    <row r="2481" spans="2:8" ht="12.75">
      <c r="B2481" s="17" t="s">
        <v>44</v>
      </c>
      <c r="C2481" s="8">
        <v>3.34</v>
      </c>
      <c r="D2481" s="14">
        <f>C2481/377.62/12*1000</f>
        <v>0.7370725420616846</v>
      </c>
      <c r="E2481" s="1"/>
      <c r="F2481" s="1"/>
      <c r="G2481" s="1"/>
      <c r="H2481" s="1"/>
    </row>
    <row r="2482" spans="2:8" ht="12.75">
      <c r="B2482" s="6" t="s">
        <v>16</v>
      </c>
      <c r="C2482" s="8">
        <f>16.9</f>
        <v>16.9</v>
      </c>
      <c r="D2482" s="14">
        <f>C2482/377.62/12*1000</f>
        <v>3.7294987906713977</v>
      </c>
      <c r="E2482" s="1"/>
      <c r="F2482" s="1"/>
      <c r="G2482" s="1"/>
      <c r="H2482" s="1"/>
    </row>
    <row r="2483" spans="2:8" ht="12.75">
      <c r="B2483" s="10" t="s">
        <v>19</v>
      </c>
      <c r="C2483" s="22">
        <f>SUM(C2484:C2488)</f>
        <v>10.72</v>
      </c>
      <c r="D2483" s="22">
        <f>SUM(D2484:D2488)</f>
        <v>2.365693907455467</v>
      </c>
      <c r="E2483" s="1"/>
      <c r="F2483" s="1"/>
      <c r="G2483" s="1"/>
      <c r="H2483" s="1"/>
    </row>
    <row r="2484" spans="2:8" ht="12.75">
      <c r="B2484" s="6" t="s">
        <v>45</v>
      </c>
      <c r="C2484" s="8">
        <f>6.56+1.32+0.66</f>
        <v>8.540000000000001</v>
      </c>
      <c r="D2484" s="14">
        <f>C2484/377.62/12*1000</f>
        <v>1.884610631499038</v>
      </c>
      <c r="E2484" s="1"/>
      <c r="F2484" s="1"/>
      <c r="G2484" s="1"/>
      <c r="H2484" s="1"/>
    </row>
    <row r="2485" spans="2:8" ht="12.75">
      <c r="B2485" s="6" t="s">
        <v>46</v>
      </c>
      <c r="C2485" s="8"/>
      <c r="D2485" s="14">
        <f>C2485/377.62/12*1000</f>
        <v>0</v>
      </c>
      <c r="E2485" s="1"/>
      <c r="F2485" s="1"/>
      <c r="G2485" s="1"/>
      <c r="H2485" s="1"/>
    </row>
    <row r="2486" spans="2:8" ht="12.75">
      <c r="B2486" s="20" t="s">
        <v>47</v>
      </c>
      <c r="C2486" s="8"/>
      <c r="D2486" s="14">
        <f>C2486/377.62/12*1000</f>
        <v>0</v>
      </c>
      <c r="E2486" s="1"/>
      <c r="F2486" s="1"/>
      <c r="G2486" s="1"/>
      <c r="H2486" s="1"/>
    </row>
    <row r="2487" spans="2:8" ht="12.75">
      <c r="B2487" s="8" t="s">
        <v>48</v>
      </c>
      <c r="C2487" s="8">
        <v>1.86</v>
      </c>
      <c r="D2487" s="14">
        <f>C2487/377.62/12*1000</f>
        <v>0.4104655473756687</v>
      </c>
      <c r="E2487" s="1"/>
      <c r="F2487" s="1"/>
      <c r="G2487" s="1"/>
      <c r="H2487" s="1"/>
    </row>
    <row r="2488" spans="2:8" ht="12.75">
      <c r="B2488" s="8" t="s">
        <v>50</v>
      </c>
      <c r="C2488" s="8">
        <v>0.32</v>
      </c>
      <c r="D2488" s="14">
        <f>C2488/377.62/12*1000</f>
        <v>0.0706177285807602</v>
      </c>
      <c r="E2488" s="1"/>
      <c r="F2488" s="1"/>
      <c r="G2488" s="1"/>
      <c r="H2488" s="1"/>
    </row>
    <row r="2489" spans="2:8" ht="12.75">
      <c r="B2489" s="14" t="s">
        <v>27</v>
      </c>
      <c r="C2489" s="14">
        <f>5.63+0.88</f>
        <v>6.51</v>
      </c>
      <c r="D2489" s="14">
        <f>C2489/377.62/12*1000</f>
        <v>1.4366294158148403</v>
      </c>
      <c r="E2489" s="1"/>
      <c r="F2489" s="1"/>
      <c r="G2489" s="1"/>
      <c r="H2489" s="1"/>
    </row>
    <row r="2490" spans="2:8" ht="12.75">
      <c r="B2490" s="14"/>
      <c r="C2490" s="14"/>
      <c r="D2490" s="8"/>
      <c r="E2490" s="1"/>
      <c r="F2490" s="1"/>
      <c r="G2490" s="1"/>
      <c r="H2490" s="1"/>
    </row>
    <row r="2491" spans="2:8" ht="12.75">
      <c r="B2491" s="14" t="s">
        <v>29</v>
      </c>
      <c r="C2491" s="23">
        <f>C2478+C2479+C2483+C2489+C2490</f>
        <v>52.15</v>
      </c>
      <c r="D2491" s="23">
        <f>D2478+D2479+D2483+D2489+D2490</f>
        <v>11.508482954645764</v>
      </c>
      <c r="E2491" s="1"/>
      <c r="F2491" s="1"/>
      <c r="G2491" s="1"/>
      <c r="H2491" s="1"/>
    </row>
    <row r="2492" spans="2:8" ht="12.75">
      <c r="B2492" s="8" t="s">
        <v>51</v>
      </c>
      <c r="C2492" s="8">
        <v>5.22</v>
      </c>
      <c r="D2492" s="8">
        <v>1.15</v>
      </c>
      <c r="E2492" s="1"/>
      <c r="F2492" s="1"/>
      <c r="G2492" s="1"/>
      <c r="H2492" s="1"/>
    </row>
    <row r="2493" spans="2:8" ht="12.75">
      <c r="B2493" s="14" t="s">
        <v>31</v>
      </c>
      <c r="C2493" s="23">
        <f>C2491+C2492</f>
        <v>57.37</v>
      </c>
      <c r="D2493" s="23">
        <f>D2491+D2492</f>
        <v>12.658482954645764</v>
      </c>
      <c r="E2493" s="1"/>
      <c r="F2493" s="1"/>
      <c r="G2493" s="1"/>
      <c r="H2493" s="1"/>
    </row>
    <row r="2494" spans="2:8" ht="12.75">
      <c r="B2494" s="6" t="s">
        <v>34</v>
      </c>
      <c r="C2494" s="23">
        <f>C2493/C2477/12*1000</f>
        <v>12.660434652119413</v>
      </c>
      <c r="D2494" s="8"/>
      <c r="E2494" s="1"/>
      <c r="F2494" s="1"/>
      <c r="G2494" s="1"/>
      <c r="H2494" s="1"/>
    </row>
    <row r="2495" spans="2:8" ht="12.75">
      <c r="B2495" s="1"/>
      <c r="C2495" s="1"/>
      <c r="D2495" s="1"/>
      <c r="E2495" s="1"/>
      <c r="F2495" s="1"/>
      <c r="G2495" s="1"/>
      <c r="H2495" s="1"/>
    </row>
    <row r="2496" spans="2:8" ht="12.75">
      <c r="B2496" s="1" t="s">
        <v>52</v>
      </c>
      <c r="C2496" s="1"/>
      <c r="D2496" s="1"/>
      <c r="E2496" s="1"/>
      <c r="F2496" s="1"/>
      <c r="G2496" s="1"/>
      <c r="H2496" s="1"/>
    </row>
    <row r="2497" spans="2:8" ht="12.75">
      <c r="B2497" s="1"/>
      <c r="C2497" s="1"/>
      <c r="D2497" s="1"/>
      <c r="E2497" s="1"/>
      <c r="F2497" s="1"/>
      <c r="G2497" s="1"/>
      <c r="H2497" s="1"/>
    </row>
    <row r="2498" spans="2:8" ht="12.75">
      <c r="B2498" s="1"/>
      <c r="C2498" s="1"/>
      <c r="D2498" s="1"/>
      <c r="E2498" s="1"/>
      <c r="F2498" s="1"/>
      <c r="G2498" s="1"/>
      <c r="H2498" s="1"/>
    </row>
    <row r="2499" spans="2:8" ht="12.75">
      <c r="B2499" s="1"/>
      <c r="C2499" s="1"/>
      <c r="D2499" s="1"/>
      <c r="E2499" s="1"/>
      <c r="F2499" s="1"/>
      <c r="G2499" s="1"/>
      <c r="H2499" s="1"/>
    </row>
    <row r="2500" spans="2:8" ht="12.75">
      <c r="B2500" s="2" t="s">
        <v>0</v>
      </c>
      <c r="C2500" s="2"/>
      <c r="D2500" s="2"/>
      <c r="E2500" s="1"/>
      <c r="F2500" s="1"/>
      <c r="G2500" s="1"/>
      <c r="H2500" s="1"/>
    </row>
    <row r="2501" spans="2:8" ht="12.75">
      <c r="B2501" s="2" t="s">
        <v>65</v>
      </c>
      <c r="C2501" s="2"/>
      <c r="D2501" s="2"/>
      <c r="E2501" s="1"/>
      <c r="F2501" s="1"/>
      <c r="G2501" s="1"/>
      <c r="H2501" s="1"/>
    </row>
    <row r="2502" spans="2:8" ht="12.75">
      <c r="B2502" s="2" t="s">
        <v>161</v>
      </c>
      <c r="C2502" s="2"/>
      <c r="D2502" s="2"/>
      <c r="E2502" s="1"/>
      <c r="F2502" s="1"/>
      <c r="G2502" s="1"/>
      <c r="H2502" s="1"/>
    </row>
    <row r="2503" spans="2:8" ht="12.75">
      <c r="B2503" s="3"/>
      <c r="C2503" s="3"/>
      <c r="D2503" s="1"/>
      <c r="E2503" s="1"/>
      <c r="F2503" s="1"/>
      <c r="G2503" s="1"/>
      <c r="H2503" s="1"/>
    </row>
    <row r="2504" spans="2:8" ht="12.75">
      <c r="B2504" s="5" t="s">
        <v>4</v>
      </c>
      <c r="C2504" s="31" t="s">
        <v>40</v>
      </c>
      <c r="D2504" s="6" t="s">
        <v>41</v>
      </c>
      <c r="E2504" s="1"/>
      <c r="F2504" s="1"/>
      <c r="G2504" s="1"/>
      <c r="H2504" s="1"/>
    </row>
    <row r="2505" spans="2:8" ht="12.75">
      <c r="B2505" s="6"/>
      <c r="C2505" s="6"/>
      <c r="D2505" s="7"/>
      <c r="E2505" s="1"/>
      <c r="F2505" s="1"/>
      <c r="G2505" s="1"/>
      <c r="H2505" s="1"/>
    </row>
    <row r="2506" spans="2:8" ht="12.75">
      <c r="B2506" s="10" t="s">
        <v>42</v>
      </c>
      <c r="C2506" s="8">
        <v>1527.8</v>
      </c>
      <c r="D2506" s="8"/>
      <c r="E2506" s="1"/>
      <c r="F2506" s="1"/>
      <c r="G2506" s="1"/>
      <c r="H2506" s="1"/>
    </row>
    <row r="2507" spans="2:8" ht="12.75">
      <c r="B2507" s="11" t="s">
        <v>13</v>
      </c>
      <c r="C2507" s="32">
        <v>31.33</v>
      </c>
      <c r="D2507" s="14">
        <f>C2507/1527.8/12*1000</f>
        <v>1.7088842344111357</v>
      </c>
      <c r="E2507" s="1"/>
      <c r="F2507" s="1"/>
      <c r="G2507" s="1"/>
      <c r="H2507" s="1"/>
    </row>
    <row r="2508" spans="2:8" ht="12.75">
      <c r="B2508" s="15" t="s">
        <v>14</v>
      </c>
      <c r="C2508" s="9">
        <f>SUM(C2509:C2511)</f>
        <v>72.83</v>
      </c>
      <c r="D2508" s="9">
        <f>SUM(D2509:D2511)</f>
        <v>3.972487672906576</v>
      </c>
      <c r="E2508" s="1"/>
      <c r="F2508" s="1"/>
      <c r="G2508" s="1"/>
      <c r="H2508" s="1"/>
    </row>
    <row r="2509" spans="2:8" ht="12.75">
      <c r="B2509" s="6" t="s">
        <v>43</v>
      </c>
      <c r="C2509" s="8">
        <f>11.92+16.13</f>
        <v>28.049999999999997</v>
      </c>
      <c r="D2509" s="8">
        <f>C2509/1527.8/12*1000</f>
        <v>1.529977745778243</v>
      </c>
      <c r="E2509" s="1"/>
      <c r="F2509" s="1"/>
      <c r="G2509" s="1"/>
      <c r="H2509" s="1"/>
    </row>
    <row r="2510" spans="2:8" ht="12.75">
      <c r="B2510" s="17" t="s">
        <v>44</v>
      </c>
      <c r="C2510" s="8">
        <v>13.5</v>
      </c>
      <c r="D2510" s="8">
        <f>C2510/1527.8/12*1000</f>
        <v>0.7363529257756252</v>
      </c>
      <c r="E2510" s="1"/>
      <c r="F2510" s="1"/>
      <c r="G2510" s="1"/>
      <c r="H2510" s="1"/>
    </row>
    <row r="2511" spans="2:8" ht="12.75">
      <c r="B2511" s="6" t="s">
        <v>16</v>
      </c>
      <c r="C2511" s="8">
        <v>31.28</v>
      </c>
      <c r="D2511" s="8">
        <f>C2511/1527.8/12*1000</f>
        <v>1.7061570013527076</v>
      </c>
      <c r="E2511" s="1"/>
      <c r="F2511" s="1"/>
      <c r="G2511" s="1"/>
      <c r="H2511" s="1"/>
    </row>
    <row r="2512" spans="2:8" ht="12.75">
      <c r="B2512" s="10" t="s">
        <v>19</v>
      </c>
      <c r="C2512" s="22">
        <f>SUM(C2513:C2517)</f>
        <v>80.49</v>
      </c>
      <c r="D2512" s="22">
        <f>SUM(D2513:D2517)</f>
        <v>4.390299777457783</v>
      </c>
      <c r="E2512" s="1"/>
      <c r="F2512" s="1"/>
      <c r="G2512" s="1"/>
      <c r="H2512" s="1"/>
    </row>
    <row r="2513" spans="2:8" ht="12.75">
      <c r="B2513" s="6" t="s">
        <v>45</v>
      </c>
      <c r="C2513" s="8">
        <f>57.08+11.53+5.78</f>
        <v>74.39</v>
      </c>
      <c r="D2513" s="8">
        <f>C2513/1527.8/12*1000</f>
        <v>4.0575773443295375</v>
      </c>
      <c r="E2513" s="1"/>
      <c r="F2513" s="1"/>
      <c r="G2513" s="1"/>
      <c r="H2513" s="1"/>
    </row>
    <row r="2514" spans="2:8" ht="12.75">
      <c r="B2514" s="6" t="s">
        <v>46</v>
      </c>
      <c r="C2514" s="8"/>
      <c r="D2514" s="8">
        <f>C2514/1527.8/12*1000</f>
        <v>0</v>
      </c>
      <c r="E2514" s="1"/>
      <c r="F2514" s="1"/>
      <c r="G2514" s="1"/>
      <c r="H2514" s="1"/>
    </row>
    <row r="2515" spans="2:8" ht="12.75">
      <c r="B2515" s="20" t="s">
        <v>47</v>
      </c>
      <c r="C2515" s="8">
        <v>0.14</v>
      </c>
      <c r="D2515" s="8">
        <f>C2515/1527.8/12*1000</f>
        <v>0.007636252563599076</v>
      </c>
      <c r="E2515" s="1"/>
      <c r="F2515" s="1"/>
      <c r="G2515" s="1"/>
      <c r="H2515" s="1"/>
    </row>
    <row r="2516" spans="2:8" ht="12.75">
      <c r="B2516" s="8" t="s">
        <v>48</v>
      </c>
      <c r="C2516" s="8">
        <v>4.78</v>
      </c>
      <c r="D2516" s="8">
        <f>C2516/1527.8/12*1000</f>
        <v>0.26072348038573984</v>
      </c>
      <c r="E2516" s="1"/>
      <c r="F2516" s="1"/>
      <c r="G2516" s="1"/>
      <c r="H2516" s="1"/>
    </row>
    <row r="2517" spans="2:8" ht="12.75">
      <c r="B2517" s="8" t="s">
        <v>50</v>
      </c>
      <c r="C2517" s="8">
        <v>1.18</v>
      </c>
      <c r="D2517" s="8">
        <f>C2517/1527.8/12*1000</f>
        <v>0.0643627001789065</v>
      </c>
      <c r="E2517" s="1"/>
      <c r="F2517" s="1"/>
      <c r="G2517" s="1"/>
      <c r="H2517" s="1"/>
    </row>
    <row r="2518" spans="2:8" ht="12.75">
      <c r="B2518" s="14" t="s">
        <v>27</v>
      </c>
      <c r="C2518" s="14">
        <f>22.79+3.56</f>
        <v>26.349999999999998</v>
      </c>
      <c r="D2518" s="14">
        <f>C2518/1527.8/12*1000</f>
        <v>1.437251821791683</v>
      </c>
      <c r="E2518" s="1"/>
      <c r="F2518" s="1"/>
      <c r="G2518" s="1"/>
      <c r="H2518" s="1"/>
    </row>
    <row r="2519" spans="2:8" ht="12.75">
      <c r="B2519" s="14"/>
      <c r="C2519" s="14"/>
      <c r="D2519" s="8"/>
      <c r="E2519" s="1"/>
      <c r="F2519" s="1"/>
      <c r="G2519" s="1"/>
      <c r="H2519" s="1"/>
    </row>
    <row r="2520" spans="2:8" ht="12.75">
      <c r="B2520" s="14" t="s">
        <v>29</v>
      </c>
      <c r="C2520" s="23">
        <f>C2507+C2508+C2512+C2518+C2519</f>
        <v>210.99999999999997</v>
      </c>
      <c r="D2520" s="23">
        <f>D2507+D2508+D2512+D2518+D2519</f>
        <v>11.508923506567179</v>
      </c>
      <c r="E2520" s="1"/>
      <c r="F2520" s="1"/>
      <c r="G2520" s="1"/>
      <c r="H2520" s="1"/>
    </row>
    <row r="2521" spans="2:8" ht="12.75">
      <c r="B2521" s="8" t="s">
        <v>51</v>
      </c>
      <c r="C2521" s="8">
        <v>21.1</v>
      </c>
      <c r="D2521" s="8">
        <f>C2521/1527.8/12*1000</f>
        <v>1.1508923506567177</v>
      </c>
      <c r="E2521" s="1"/>
      <c r="F2521" s="1"/>
      <c r="G2521" s="1"/>
      <c r="H2521" s="1"/>
    </row>
    <row r="2522" spans="2:8" ht="12.75">
      <c r="B2522" s="14" t="s">
        <v>31</v>
      </c>
      <c r="C2522" s="23">
        <f>C2520+C2521</f>
        <v>232.09999999999997</v>
      </c>
      <c r="D2522" s="23">
        <f>D2520+D2521</f>
        <v>12.659815857223897</v>
      </c>
      <c r="E2522" s="1"/>
      <c r="F2522" s="1"/>
      <c r="G2522" s="1"/>
      <c r="H2522" s="1"/>
    </row>
    <row r="2523" spans="2:8" ht="12.75">
      <c r="B2523" s="6" t="s">
        <v>34</v>
      </c>
      <c r="C2523" s="23">
        <f>C2522/C2506/12*1000</f>
        <v>12.659815857223894</v>
      </c>
      <c r="D2523" s="8"/>
      <c r="E2523" s="1"/>
      <c r="F2523" s="1"/>
      <c r="G2523" s="1"/>
      <c r="H2523" s="1"/>
    </row>
    <row r="2524" spans="2:8" ht="12.75">
      <c r="B2524" s="1"/>
      <c r="C2524" s="1"/>
      <c r="D2524" s="1"/>
      <c r="E2524" s="1"/>
      <c r="F2524" s="1"/>
      <c r="G2524" s="1"/>
      <c r="H2524" s="1"/>
    </row>
    <row r="2525" spans="2:8" ht="12.75">
      <c r="B2525" s="1" t="s">
        <v>52</v>
      </c>
      <c r="C2525" s="1"/>
      <c r="D2525" s="1"/>
      <c r="E2525" s="1"/>
      <c r="F2525" s="1"/>
      <c r="G2525" s="1"/>
      <c r="H2525" s="1"/>
    </row>
    <row r="2526" spans="2:8" ht="12.75">
      <c r="B2526" s="1"/>
      <c r="C2526" s="1"/>
      <c r="D2526" s="1"/>
      <c r="E2526" s="1"/>
      <c r="F2526" s="1"/>
      <c r="G2526" s="1"/>
      <c r="H2526" s="1"/>
    </row>
    <row r="2527" spans="2:8" ht="12.75">
      <c r="B2527" s="2" t="s">
        <v>0</v>
      </c>
      <c r="C2527" s="2"/>
      <c r="D2527" s="2"/>
      <c r="E2527" s="1"/>
      <c r="F2527" s="1"/>
      <c r="G2527" s="1"/>
      <c r="H2527" s="1"/>
    </row>
    <row r="2528" spans="2:8" ht="12.75">
      <c r="B2528" s="2" t="s">
        <v>65</v>
      </c>
      <c r="C2528" s="2"/>
      <c r="D2528" s="2"/>
      <c r="E2528" s="1"/>
      <c r="F2528" s="1"/>
      <c r="G2528" s="1"/>
      <c r="H2528" s="1"/>
    </row>
    <row r="2529" spans="2:8" ht="12.75">
      <c r="B2529" s="2" t="s">
        <v>162</v>
      </c>
      <c r="C2529" s="2"/>
      <c r="D2529" s="2"/>
      <c r="E2529" s="1"/>
      <c r="F2529" s="1"/>
      <c r="G2529" s="1"/>
      <c r="H2529" s="1"/>
    </row>
    <row r="2530" spans="2:8" ht="12.75">
      <c r="B2530" s="3"/>
      <c r="C2530" s="3"/>
      <c r="D2530" s="1"/>
      <c r="E2530" s="1"/>
      <c r="F2530" s="1"/>
      <c r="G2530" s="1"/>
      <c r="H2530" s="1"/>
    </row>
    <row r="2531" spans="2:8" ht="12.75">
      <c r="B2531" s="5" t="s">
        <v>4</v>
      </c>
      <c r="C2531" s="31" t="s">
        <v>40</v>
      </c>
      <c r="D2531" s="6" t="s">
        <v>41</v>
      </c>
      <c r="E2531" s="1"/>
      <c r="F2531" s="1"/>
      <c r="G2531" s="1"/>
      <c r="H2531" s="1"/>
    </row>
    <row r="2532" spans="2:8" ht="12.75">
      <c r="B2532" s="6"/>
      <c r="C2532" s="6"/>
      <c r="D2532" s="7"/>
      <c r="E2532" s="1"/>
      <c r="F2532" s="1"/>
      <c r="G2532" s="1"/>
      <c r="H2532" s="1"/>
    </row>
    <row r="2533" spans="2:8" ht="12.75">
      <c r="B2533" s="10" t="s">
        <v>42</v>
      </c>
      <c r="C2533" s="8">
        <v>1510.7</v>
      </c>
      <c r="D2533" s="8"/>
      <c r="E2533" s="1"/>
      <c r="F2533" s="1"/>
      <c r="G2533" s="1"/>
      <c r="H2533" s="1"/>
    </row>
    <row r="2534" spans="2:8" ht="12.75">
      <c r="B2534" s="11" t="s">
        <v>13</v>
      </c>
      <c r="C2534" s="30">
        <v>30.98</v>
      </c>
      <c r="D2534" s="8">
        <f>C2534/1510.7/12*1000</f>
        <v>1.7089208093378347</v>
      </c>
      <c r="E2534" s="1"/>
      <c r="F2534" s="1"/>
      <c r="G2534" s="1"/>
      <c r="H2534" s="1"/>
    </row>
    <row r="2535" spans="2:8" ht="12.75">
      <c r="B2535" s="15" t="s">
        <v>14</v>
      </c>
      <c r="C2535" s="9">
        <f>SUM(C2536:C2538)</f>
        <v>66.41</v>
      </c>
      <c r="D2535" s="9">
        <f>SUM(D2536:D2538)</f>
        <v>3.6633128130447252</v>
      </c>
      <c r="E2535" s="1"/>
      <c r="F2535" s="1"/>
      <c r="G2535" s="1"/>
      <c r="H2535" s="1"/>
    </row>
    <row r="2536" spans="2:8" ht="12.75">
      <c r="B2536" s="6" t="s">
        <v>43</v>
      </c>
      <c r="C2536" s="8">
        <f>11.78+15.95</f>
        <v>27.729999999999997</v>
      </c>
      <c r="D2536" s="8">
        <f>C2536/1510.7/12*1000</f>
        <v>1.5296440943491978</v>
      </c>
      <c r="E2536" s="1"/>
      <c r="F2536" s="1"/>
      <c r="G2536" s="1"/>
      <c r="H2536" s="1"/>
    </row>
    <row r="2537" spans="2:8" ht="12.75">
      <c r="B2537" s="17" t="s">
        <v>44</v>
      </c>
      <c r="C2537" s="8">
        <v>13.35</v>
      </c>
      <c r="D2537" s="8">
        <f>C2537/1510.7/12*1000</f>
        <v>0.7364135831071689</v>
      </c>
      <c r="E2537" s="1"/>
      <c r="F2537" s="1"/>
      <c r="G2537" s="1"/>
      <c r="H2537" s="1"/>
    </row>
    <row r="2538" spans="2:8" ht="12.75">
      <c r="B2538" s="6" t="s">
        <v>16</v>
      </c>
      <c r="C2538" s="8">
        <v>25.33</v>
      </c>
      <c r="D2538" s="8">
        <f>C2538/1510.7/12*1000</f>
        <v>1.3972551355883585</v>
      </c>
      <c r="E2538" s="1"/>
      <c r="F2538" s="1"/>
      <c r="G2538" s="1"/>
      <c r="H2538" s="1"/>
    </row>
    <row r="2539" spans="2:8" ht="12.75">
      <c r="B2539" s="10" t="s">
        <v>19</v>
      </c>
      <c r="C2539" s="22">
        <f>SUM(C2540:C2544)</f>
        <v>85.19</v>
      </c>
      <c r="D2539" s="22">
        <f>SUM(D2540:D2544)</f>
        <v>4.699256415348293</v>
      </c>
      <c r="E2539" s="1"/>
      <c r="F2539" s="1"/>
      <c r="G2539" s="1"/>
      <c r="H2539" s="1"/>
    </row>
    <row r="2540" spans="2:8" ht="12.75">
      <c r="B2540" s="6" t="s">
        <v>45</v>
      </c>
      <c r="C2540" s="8">
        <f>60.66+12.25+6.14</f>
        <v>79.05</v>
      </c>
      <c r="D2540" s="8">
        <f>C2540/1510.7/12*1000</f>
        <v>4.3605613291851455</v>
      </c>
      <c r="E2540" s="1"/>
      <c r="F2540" s="1"/>
      <c r="G2540" s="1"/>
      <c r="H2540" s="1"/>
    </row>
    <row r="2541" spans="2:8" ht="12.75">
      <c r="B2541" s="6" t="s">
        <v>46</v>
      </c>
      <c r="C2541" s="8">
        <v>0</v>
      </c>
      <c r="D2541" s="8">
        <f>C2541/1510.7/12*1000</f>
        <v>0</v>
      </c>
      <c r="E2541" s="1"/>
      <c r="F2541" s="1"/>
      <c r="G2541" s="1"/>
      <c r="H2541" s="1"/>
    </row>
    <row r="2542" spans="2:8" ht="12.75">
      <c r="B2542" s="20" t="s">
        <v>47</v>
      </c>
      <c r="C2542" s="8">
        <v>0.16</v>
      </c>
      <c r="D2542" s="8">
        <f>C2542/1510.7/12*1000</f>
        <v>0.008825930584055956</v>
      </c>
      <c r="E2542" s="1"/>
      <c r="F2542" s="1"/>
      <c r="G2542" s="1"/>
      <c r="H2542" s="1"/>
    </row>
    <row r="2543" spans="2:8" ht="12.75">
      <c r="B2543" s="8" t="s">
        <v>48</v>
      </c>
      <c r="C2543" s="8">
        <v>4.78</v>
      </c>
      <c r="D2543" s="8">
        <f>C2543/1510.7/12*1000</f>
        <v>0.2636746761986717</v>
      </c>
      <c r="E2543" s="1"/>
      <c r="F2543" s="1"/>
      <c r="G2543" s="1"/>
      <c r="H2543" s="1"/>
    </row>
    <row r="2544" spans="2:8" ht="12.75">
      <c r="B2544" s="8" t="s">
        <v>50</v>
      </c>
      <c r="C2544" s="8">
        <v>1.2</v>
      </c>
      <c r="D2544" s="8">
        <f>C2544/1510.7/12*1000</f>
        <v>0.06619447938041967</v>
      </c>
      <c r="E2544" s="1"/>
      <c r="F2544" s="1"/>
      <c r="G2544" s="1"/>
      <c r="H2544" s="1"/>
    </row>
    <row r="2545" spans="2:8" ht="12.75">
      <c r="B2545" s="14" t="s">
        <v>27</v>
      </c>
      <c r="C2545" s="14">
        <f>22.54+3.52</f>
        <v>26.06</v>
      </c>
      <c r="D2545" s="14">
        <f>C2545/1510.7/12*1000</f>
        <v>1.4375234438781137</v>
      </c>
      <c r="E2545" s="1"/>
      <c r="F2545" s="1"/>
      <c r="G2545" s="1"/>
      <c r="H2545" s="1"/>
    </row>
    <row r="2546" spans="2:8" ht="12.75">
      <c r="B2546" s="14"/>
      <c r="C2546" s="14"/>
      <c r="D2546" s="8"/>
      <c r="E2546" s="1"/>
      <c r="F2546" s="1"/>
      <c r="G2546" s="1"/>
      <c r="H2546" s="1"/>
    </row>
    <row r="2547" spans="2:8" ht="12.75">
      <c r="B2547" s="14" t="s">
        <v>29</v>
      </c>
      <c r="C2547" s="23">
        <f>C2534+C2535+C2539+C2545+C2546</f>
        <v>208.64</v>
      </c>
      <c r="D2547" s="23">
        <f>D2534+D2535+D2539+D2545+D2546</f>
        <v>11.509013481608967</v>
      </c>
      <c r="E2547" s="1"/>
      <c r="F2547" s="1"/>
      <c r="G2547" s="1"/>
      <c r="H2547" s="1"/>
    </row>
    <row r="2548" spans="2:8" ht="12.75">
      <c r="B2548" s="8" t="s">
        <v>51</v>
      </c>
      <c r="C2548" s="8">
        <v>20.86</v>
      </c>
      <c r="D2548" s="8">
        <f>C2548/1510.7/12*1000</f>
        <v>1.1506806998962953</v>
      </c>
      <c r="E2548" s="1"/>
      <c r="F2548" s="1"/>
      <c r="G2548" s="1"/>
      <c r="H2548" s="1"/>
    </row>
    <row r="2549" spans="2:8" ht="12.75">
      <c r="B2549" s="14" t="s">
        <v>31</v>
      </c>
      <c r="C2549" s="23">
        <f>C2547+C2548</f>
        <v>229.5</v>
      </c>
      <c r="D2549" s="23">
        <f>D2547+D2548</f>
        <v>12.659694181505262</v>
      </c>
      <c r="E2549" s="1"/>
      <c r="F2549" s="1"/>
      <c r="G2549" s="1"/>
      <c r="H2549" s="1"/>
    </row>
    <row r="2550" spans="2:8" ht="12.75">
      <c r="B2550" s="6" t="s">
        <v>34</v>
      </c>
      <c r="C2550" s="23">
        <f>C2549/C2533/12*1000</f>
        <v>12.65969418150526</v>
      </c>
      <c r="D2550" s="8"/>
      <c r="E2550" s="1"/>
      <c r="F2550" s="1"/>
      <c r="G2550" s="1"/>
      <c r="H2550" s="1"/>
    </row>
    <row r="2551" spans="2:8" ht="12.75">
      <c r="B2551" s="1"/>
      <c r="C2551" s="1"/>
      <c r="D2551" s="1"/>
      <c r="E2551" s="1"/>
      <c r="F2551" s="1"/>
      <c r="G2551" s="1"/>
      <c r="H2551" s="1"/>
    </row>
    <row r="2552" spans="2:8" ht="12.75">
      <c r="B2552" s="1" t="s">
        <v>52</v>
      </c>
      <c r="C2552" s="1"/>
      <c r="D2552" s="1"/>
      <c r="E2552" s="1"/>
      <c r="F2552" s="1"/>
      <c r="G2552" s="1"/>
      <c r="H2552" s="1"/>
    </row>
    <row r="2553" spans="2:8" ht="12.75">
      <c r="B2553" s="1"/>
      <c r="C2553" s="1"/>
      <c r="D2553" s="1"/>
      <c r="E2553" s="1"/>
      <c r="F2553" s="1"/>
      <c r="G2553" s="1"/>
      <c r="H2553" s="1"/>
    </row>
    <row r="2554" spans="2:8" ht="12.75">
      <c r="B2554" s="2" t="s">
        <v>0</v>
      </c>
      <c r="C2554" s="2"/>
      <c r="D2554" s="2"/>
      <c r="E2554" s="1"/>
      <c r="F2554" s="1"/>
      <c r="G2554" s="1"/>
      <c r="H2554" s="1"/>
    </row>
    <row r="2555" spans="2:8" ht="12.75">
      <c r="B2555" s="2" t="s">
        <v>65</v>
      </c>
      <c r="C2555" s="2"/>
      <c r="D2555" s="2"/>
      <c r="E2555" s="1"/>
      <c r="F2555" s="1"/>
      <c r="G2555" s="1"/>
      <c r="H2555" s="1"/>
    </row>
    <row r="2556" spans="2:8" ht="12.75">
      <c r="B2556" s="2" t="s">
        <v>163</v>
      </c>
      <c r="C2556" s="2"/>
      <c r="D2556" s="2"/>
      <c r="E2556" s="1"/>
      <c r="F2556" s="1"/>
      <c r="G2556" s="1"/>
      <c r="H2556" s="1"/>
    </row>
    <row r="2557" spans="2:8" ht="12.75">
      <c r="B2557" s="3"/>
      <c r="C2557" s="3"/>
      <c r="D2557" s="1"/>
      <c r="E2557" s="1"/>
      <c r="F2557" s="1"/>
      <c r="G2557" s="1"/>
      <c r="H2557" s="1"/>
    </row>
    <row r="2558" spans="2:8" ht="12.75">
      <c r="B2558" s="5" t="s">
        <v>4</v>
      </c>
      <c r="C2558" s="6" t="s">
        <v>63</v>
      </c>
      <c r="D2558" s="6" t="s">
        <v>41</v>
      </c>
      <c r="E2558" s="1"/>
      <c r="F2558" s="1"/>
      <c r="G2558" s="1"/>
      <c r="H2558" s="1"/>
    </row>
    <row r="2559" spans="2:8" ht="12.75">
      <c r="B2559" s="6"/>
      <c r="C2559" s="6"/>
      <c r="D2559" s="7"/>
      <c r="E2559" s="1"/>
      <c r="F2559" s="1"/>
      <c r="G2559" s="1"/>
      <c r="H2559" s="1"/>
    </row>
    <row r="2560" spans="2:8" ht="12.75">
      <c r="B2560" s="10" t="s">
        <v>42</v>
      </c>
      <c r="C2560" s="8">
        <v>2189.4</v>
      </c>
      <c r="D2560" s="8"/>
      <c r="E2560" s="1"/>
      <c r="F2560" s="1"/>
      <c r="G2560" s="1"/>
      <c r="H2560" s="1"/>
    </row>
    <row r="2561" spans="2:8" ht="12.75">
      <c r="B2561" s="11" t="s">
        <v>13</v>
      </c>
      <c r="C2561" s="32">
        <v>43.3</v>
      </c>
      <c r="D2561" s="14">
        <f>C2561/2189.4/12*1000</f>
        <v>1.6480923236198655</v>
      </c>
      <c r="E2561" s="1"/>
      <c r="F2561" s="1"/>
      <c r="G2561" s="1"/>
      <c r="H2561" s="1"/>
    </row>
    <row r="2562" spans="2:8" ht="12.75">
      <c r="B2562" s="15" t="s">
        <v>14</v>
      </c>
      <c r="C2562" s="9">
        <f>SUM(C2563:C2565)</f>
        <v>140.36</v>
      </c>
      <c r="D2562" s="5">
        <f>SUM(D2563:D2565)</f>
        <v>5.342407356657835</v>
      </c>
      <c r="E2562" s="1"/>
      <c r="F2562" s="1"/>
      <c r="G2562" s="1"/>
      <c r="H2562" s="1"/>
    </row>
    <row r="2563" spans="2:8" ht="12.75">
      <c r="B2563" s="6" t="s">
        <v>59</v>
      </c>
      <c r="C2563" s="8">
        <f>17.08+23.12</f>
        <v>40.2</v>
      </c>
      <c r="D2563" s="8">
        <f>C2563/2189.4/12*1000</f>
        <v>1.530099570658628</v>
      </c>
      <c r="E2563" s="1"/>
      <c r="F2563" s="1"/>
      <c r="G2563" s="1"/>
      <c r="H2563" s="1"/>
    </row>
    <row r="2564" spans="2:8" ht="12.75">
      <c r="B2564" s="17" t="s">
        <v>44</v>
      </c>
      <c r="C2564" s="8">
        <v>19.34</v>
      </c>
      <c r="D2564" s="8">
        <f>C2564/2189.4/12*1000</f>
        <v>0.7361225297646234</v>
      </c>
      <c r="E2564" s="1"/>
      <c r="F2564" s="1"/>
      <c r="G2564" s="1"/>
      <c r="H2564" s="1"/>
    </row>
    <row r="2565" spans="2:8" ht="12.75">
      <c r="B2565" s="6" t="s">
        <v>16</v>
      </c>
      <c r="C2565" s="8">
        <v>80.82</v>
      </c>
      <c r="D2565" s="8">
        <f>C2565/2189.4/12*1000</f>
        <v>3.0761852562345844</v>
      </c>
      <c r="E2565" s="1"/>
      <c r="F2565" s="1"/>
      <c r="G2565" s="1"/>
      <c r="H2565" s="1"/>
    </row>
    <row r="2566" spans="2:8" ht="12.75">
      <c r="B2566" s="10" t="s">
        <v>19</v>
      </c>
      <c r="C2566" s="22">
        <f>SUM(C2567:C2571)</f>
        <v>80.22000000000001</v>
      </c>
      <c r="D2566" s="22">
        <f>SUM(D2567:D2571)</f>
        <v>3.0533479492098294</v>
      </c>
      <c r="E2566" s="1"/>
      <c r="F2566" s="1"/>
      <c r="G2566" s="1"/>
      <c r="H2566" s="1"/>
    </row>
    <row r="2567" spans="2:8" ht="12.75">
      <c r="B2567" s="6" t="s">
        <v>45</v>
      </c>
      <c r="C2567" s="8">
        <f>56.07+11.33+5.67</f>
        <v>73.07000000000001</v>
      </c>
      <c r="D2567" s="8">
        <f>C2567/2189.4/12*1000</f>
        <v>2.781203373831491</v>
      </c>
      <c r="E2567" s="1"/>
      <c r="F2567" s="1"/>
      <c r="G2567" s="1"/>
      <c r="H2567" s="1"/>
    </row>
    <row r="2568" spans="2:8" ht="12.75">
      <c r="B2568" s="6" t="s">
        <v>46</v>
      </c>
      <c r="C2568" s="8">
        <v>0</v>
      </c>
      <c r="D2568" s="8">
        <f>C2568/2189.4/12*1000</f>
        <v>0</v>
      </c>
      <c r="E2568" s="1"/>
      <c r="F2568" s="1"/>
      <c r="G2568" s="1"/>
      <c r="H2568" s="1"/>
    </row>
    <row r="2569" spans="2:8" ht="12.75">
      <c r="B2569" s="20" t="s">
        <v>47</v>
      </c>
      <c r="C2569" s="8">
        <v>0.99</v>
      </c>
      <c r="D2569" s="8">
        <f>C2569/2189.4/12*1000</f>
        <v>0.03768155659084681</v>
      </c>
      <c r="E2569" s="1"/>
      <c r="F2569" s="1"/>
      <c r="G2569" s="1"/>
      <c r="H2569" s="1"/>
    </row>
    <row r="2570" spans="2:8" ht="12.75">
      <c r="B2570" s="8" t="s">
        <v>48</v>
      </c>
      <c r="C2570" s="8">
        <v>4.78</v>
      </c>
      <c r="D2570" s="8">
        <f>C2570/2189.4/12*1000</f>
        <v>0.1819372126305533</v>
      </c>
      <c r="E2570" s="1"/>
      <c r="F2570" s="1"/>
      <c r="G2570" s="1"/>
      <c r="H2570" s="1"/>
    </row>
    <row r="2571" spans="2:8" ht="12.75">
      <c r="B2571" s="8" t="s">
        <v>50</v>
      </c>
      <c r="C2571" s="8">
        <v>1.38</v>
      </c>
      <c r="D2571" s="8">
        <f>C2571/2189.4/12*1000</f>
        <v>0.052525806156937964</v>
      </c>
      <c r="E2571" s="1"/>
      <c r="F2571" s="1"/>
      <c r="G2571" s="1"/>
      <c r="H2571" s="1"/>
    </row>
    <row r="2572" spans="2:8" ht="12.75">
      <c r="B2572" s="14" t="s">
        <v>27</v>
      </c>
      <c r="C2572" s="14">
        <v>38.59</v>
      </c>
      <c r="D2572" s="14">
        <f>C2572/2189.4/12*1000</f>
        <v>1.4688194634755336</v>
      </c>
      <c r="E2572" s="1"/>
      <c r="F2572" s="1"/>
      <c r="G2572" s="1"/>
      <c r="H2572" s="1"/>
    </row>
    <row r="2573" spans="2:8" ht="12.75">
      <c r="B2573" s="14"/>
      <c r="C2573" s="14"/>
      <c r="D2573" s="8"/>
      <c r="E2573" s="1"/>
      <c r="F2573" s="1"/>
      <c r="G2573" s="1"/>
      <c r="H2573" s="1"/>
    </row>
    <row r="2574" spans="2:8" ht="12.75">
      <c r="B2574" s="14" t="s">
        <v>29</v>
      </c>
      <c r="C2574" s="23">
        <f>C2561+C2562+C2566+C2572+C2573</f>
        <v>302.47</v>
      </c>
      <c r="D2574" s="23">
        <f>D2561+D2562+D2566+D2572+D2573</f>
        <v>11.512667092963063</v>
      </c>
      <c r="E2574" s="1"/>
      <c r="F2574" s="1"/>
      <c r="G2574" s="1"/>
      <c r="H2574" s="1"/>
    </row>
    <row r="2575" spans="2:8" ht="12.75">
      <c r="B2575" s="8" t="s">
        <v>51</v>
      </c>
      <c r="C2575" s="8">
        <v>30.25</v>
      </c>
      <c r="D2575" s="8">
        <v>1.15</v>
      </c>
      <c r="E2575" s="1"/>
      <c r="F2575" s="1"/>
      <c r="G2575" s="1"/>
      <c r="H2575" s="1"/>
    </row>
    <row r="2576" spans="2:8" ht="12.75">
      <c r="B2576" s="14" t="s">
        <v>31</v>
      </c>
      <c r="C2576" s="23">
        <f>C2574+C2575</f>
        <v>332.72</v>
      </c>
      <c r="D2576" s="23">
        <f>D2574+D2575</f>
        <v>12.662667092963064</v>
      </c>
      <c r="E2576" s="1"/>
      <c r="F2576" s="1"/>
      <c r="G2576" s="1"/>
      <c r="H2576" s="1"/>
    </row>
    <row r="2577" spans="2:8" ht="12.75">
      <c r="B2577" s="6" t="s">
        <v>34</v>
      </c>
      <c r="C2577" s="23">
        <f>C2576/C2560/12*1000</f>
        <v>12.664047988794495</v>
      </c>
      <c r="D2577" s="8"/>
      <c r="E2577" s="1"/>
      <c r="F2577" s="1"/>
      <c r="G2577" s="1"/>
      <c r="H2577" s="1"/>
    </row>
    <row r="2578" spans="2:8" ht="12.75">
      <c r="B2578" s="1"/>
      <c r="C2578" s="1"/>
      <c r="D2578" s="1"/>
      <c r="E2578" s="1"/>
      <c r="F2578" s="1"/>
      <c r="G2578" s="1"/>
      <c r="H2578" s="1"/>
    </row>
    <row r="2579" spans="2:8" ht="12.75">
      <c r="B2579" s="1" t="s">
        <v>52</v>
      </c>
      <c r="C2579" s="1"/>
      <c r="D2579" s="1"/>
      <c r="E2579" s="1"/>
      <c r="F2579" s="1"/>
      <c r="G2579" s="1"/>
      <c r="H2579" s="1"/>
    </row>
    <row r="2580" spans="2:8" ht="12.75">
      <c r="B2580" s="1"/>
      <c r="C2580" s="1"/>
      <c r="D2580" s="1"/>
      <c r="E2580" s="1"/>
      <c r="F2580" s="1"/>
      <c r="G2580" s="1"/>
      <c r="H2580" s="1"/>
    </row>
    <row r="2581" spans="2:8" ht="12.75">
      <c r="B2581" s="2" t="s">
        <v>0</v>
      </c>
      <c r="C2581" s="2"/>
      <c r="D2581" s="2"/>
      <c r="E2581" s="1"/>
      <c r="F2581" s="1"/>
      <c r="G2581" s="1"/>
      <c r="H2581" s="1"/>
    </row>
    <row r="2582" spans="2:8" ht="12.75">
      <c r="B2582" s="2" t="s">
        <v>65</v>
      </c>
      <c r="C2582" s="2"/>
      <c r="D2582" s="2"/>
      <c r="E2582" s="1"/>
      <c r="F2582" s="1"/>
      <c r="G2582" s="1"/>
      <c r="H2582" s="1"/>
    </row>
    <row r="2583" spans="2:8" ht="12.75">
      <c r="B2583" s="2" t="s">
        <v>164</v>
      </c>
      <c r="C2583" s="2"/>
      <c r="D2583" s="2"/>
      <c r="E2583" s="1"/>
      <c r="F2583" s="1"/>
      <c r="G2583" s="1"/>
      <c r="H2583" s="1"/>
    </row>
    <row r="2584" spans="2:8" ht="12.75">
      <c r="B2584" s="3"/>
      <c r="C2584" s="3"/>
      <c r="D2584" s="1"/>
      <c r="E2584" s="1"/>
      <c r="F2584" s="1"/>
      <c r="G2584" s="1"/>
      <c r="H2584" s="1"/>
    </row>
    <row r="2585" spans="2:8" ht="12.75">
      <c r="B2585" s="5" t="s">
        <v>4</v>
      </c>
      <c r="C2585" s="31" t="s">
        <v>40</v>
      </c>
      <c r="D2585" s="6" t="s">
        <v>41</v>
      </c>
      <c r="E2585" s="1"/>
      <c r="F2585" s="1"/>
      <c r="G2585" s="1"/>
      <c r="H2585" s="1"/>
    </row>
    <row r="2586" spans="2:8" ht="12.75">
      <c r="B2586" s="6"/>
      <c r="C2586" s="6"/>
      <c r="D2586" s="7"/>
      <c r="E2586" s="1"/>
      <c r="F2586" s="1"/>
      <c r="G2586" s="1"/>
      <c r="H2586" s="1"/>
    </row>
    <row r="2587" spans="2:8" ht="12.75">
      <c r="B2587" s="10" t="s">
        <v>42</v>
      </c>
      <c r="C2587" s="8">
        <v>3181.7</v>
      </c>
      <c r="D2587" s="8"/>
      <c r="E2587" s="1"/>
      <c r="F2587" s="1"/>
      <c r="G2587" s="1"/>
      <c r="H2587" s="1"/>
    </row>
    <row r="2588" spans="2:8" ht="12.75">
      <c r="B2588" s="11" t="s">
        <v>13</v>
      </c>
      <c r="C2588" s="32">
        <v>65.25</v>
      </c>
      <c r="D2588" s="14">
        <f>C2588/3181.7/12*1000</f>
        <v>1.708992048276079</v>
      </c>
      <c r="E2588" s="1"/>
      <c r="F2588" s="1"/>
      <c r="G2588" s="1"/>
      <c r="H2588" s="1"/>
    </row>
    <row r="2589" spans="2:8" ht="12.75">
      <c r="B2589" s="15" t="s">
        <v>14</v>
      </c>
      <c r="C2589" s="9">
        <f>SUM(C2590:C2592)</f>
        <v>190.43</v>
      </c>
      <c r="D2589" s="9">
        <f>SUM(D2590:D2592)</f>
        <v>4.987637636064578</v>
      </c>
      <c r="E2589" s="1"/>
      <c r="F2589" s="1"/>
      <c r="G2589" s="1"/>
      <c r="H2589" s="1"/>
    </row>
    <row r="2590" spans="2:8" ht="12.75">
      <c r="B2590" s="6" t="s">
        <v>43</v>
      </c>
      <c r="C2590" s="8">
        <f>24.82+33.6</f>
        <v>58.42</v>
      </c>
      <c r="D2590" s="8">
        <f>C2590/3181.7/12*1000</f>
        <v>1.530104451498675</v>
      </c>
      <c r="E2590" s="1"/>
      <c r="F2590" s="1"/>
      <c r="G2590" s="1"/>
      <c r="H2590" s="1"/>
    </row>
    <row r="2591" spans="2:8" ht="12.75">
      <c r="B2591" s="17" t="s">
        <v>44</v>
      </c>
      <c r="C2591" s="8">
        <v>28.11</v>
      </c>
      <c r="D2591" s="8">
        <f>C2591/3181.7/12*1000</f>
        <v>0.7362416318320396</v>
      </c>
      <c r="E2591" s="1"/>
      <c r="F2591" s="1"/>
      <c r="G2591" s="1"/>
      <c r="H2591" s="1"/>
    </row>
    <row r="2592" spans="2:8" ht="12.75">
      <c r="B2592" s="6" t="s">
        <v>16</v>
      </c>
      <c r="C2592" s="8">
        <v>103.9</v>
      </c>
      <c r="D2592" s="8">
        <f>C2592/3181.7/12*1000</f>
        <v>2.721291552733864</v>
      </c>
      <c r="E2592" s="1"/>
      <c r="F2592" s="1"/>
      <c r="G2592" s="1"/>
      <c r="H2592" s="1"/>
    </row>
    <row r="2593" spans="2:8" ht="12.75">
      <c r="B2593" s="10" t="s">
        <v>19</v>
      </c>
      <c r="C2593" s="22">
        <f>SUM(C2594:C2598)</f>
        <v>128.85999999999999</v>
      </c>
      <c r="D2593" s="22">
        <f>SUM(D2594:D2598)</f>
        <v>3.3750301201663686</v>
      </c>
      <c r="E2593" s="1"/>
      <c r="F2593" s="1"/>
      <c r="G2593" s="1"/>
      <c r="H2593" s="1"/>
    </row>
    <row r="2594" spans="2:8" ht="12.75">
      <c r="B2594" s="6" t="s">
        <v>45</v>
      </c>
      <c r="C2594" s="8">
        <f>88.11+17.8+8.92</f>
        <v>114.83</v>
      </c>
      <c r="D2594" s="8">
        <f>C2594/3181.7/12*1000</f>
        <v>3.007564090475742</v>
      </c>
      <c r="E2594" s="1"/>
      <c r="F2594" s="1"/>
      <c r="G2594" s="1"/>
      <c r="H2594" s="1"/>
    </row>
    <row r="2595" spans="2:8" ht="12.75">
      <c r="B2595" s="6" t="s">
        <v>46</v>
      </c>
      <c r="C2595" s="8">
        <v>0</v>
      </c>
      <c r="D2595" s="8">
        <f>C2595/3181.7/12*1000</f>
        <v>0</v>
      </c>
      <c r="E2595" s="1"/>
      <c r="F2595" s="1"/>
      <c r="G2595" s="1"/>
      <c r="H2595" s="1"/>
    </row>
    <row r="2596" spans="2:8" ht="12.75">
      <c r="B2596" s="20" t="s">
        <v>47</v>
      </c>
      <c r="C2596" s="8">
        <v>2</v>
      </c>
      <c r="D2596" s="8">
        <f>C2596/3181.7/12*1000</f>
        <v>0.05238289803145069</v>
      </c>
      <c r="E2596" s="1"/>
      <c r="F2596" s="1"/>
      <c r="G2596" s="1"/>
      <c r="H2596" s="1"/>
    </row>
    <row r="2597" spans="2:8" ht="12.75">
      <c r="B2597" s="8" t="s">
        <v>48</v>
      </c>
      <c r="C2597" s="8">
        <v>9.29</v>
      </c>
      <c r="D2597" s="8">
        <f>C2597/3181.7/12*1000</f>
        <v>0.24331856135608845</v>
      </c>
      <c r="E2597" s="1"/>
      <c r="F2597" s="1"/>
      <c r="G2597" s="1"/>
      <c r="H2597" s="1"/>
    </row>
    <row r="2598" spans="2:8" ht="12.75">
      <c r="B2598" s="8" t="s">
        <v>50</v>
      </c>
      <c r="C2598" s="8">
        <v>2.74</v>
      </c>
      <c r="D2598" s="8">
        <f>C2598/3181.7/12*1000</f>
        <v>0.07176457030308746</v>
      </c>
      <c r="E2598" s="1"/>
      <c r="F2598" s="1"/>
      <c r="G2598" s="1"/>
      <c r="H2598" s="1"/>
    </row>
    <row r="2599" spans="2:8" ht="12.75">
      <c r="B2599" s="14" t="s">
        <v>27</v>
      </c>
      <c r="C2599" s="14">
        <f>47.47+7.42</f>
        <v>54.89</v>
      </c>
      <c r="D2599" s="14">
        <f>C2599/3181.7/12*1000</f>
        <v>1.4376486364731644</v>
      </c>
      <c r="E2599" s="1"/>
      <c r="F2599" s="1"/>
      <c r="G2599" s="1"/>
      <c r="H2599" s="1"/>
    </row>
    <row r="2600" spans="2:8" ht="12.75">
      <c r="B2600" s="14"/>
      <c r="C2600" s="14"/>
      <c r="D2600" s="8"/>
      <c r="E2600" s="1"/>
      <c r="F2600" s="1"/>
      <c r="G2600" s="1"/>
      <c r="H2600" s="1"/>
    </row>
    <row r="2601" spans="2:8" ht="12.75">
      <c r="B2601" s="14" t="s">
        <v>29</v>
      </c>
      <c r="C2601" s="23">
        <f>C2588+C2589+C2593+C2599+C2600</f>
        <v>439.42999999999995</v>
      </c>
      <c r="D2601" s="23">
        <f>D2588+D2589+D2593+D2599+D2600</f>
        <v>11.50930844098019</v>
      </c>
      <c r="E2601" s="1"/>
      <c r="F2601" s="1"/>
      <c r="G2601" s="1"/>
      <c r="H2601" s="1"/>
    </row>
    <row r="2602" spans="2:8" ht="12.75">
      <c r="B2602" s="8" t="s">
        <v>51</v>
      </c>
      <c r="C2602" s="8">
        <v>43.94</v>
      </c>
      <c r="D2602" s="8">
        <f>C2602/3181.7/12*1000</f>
        <v>1.1508522697509718</v>
      </c>
      <c r="E2602" s="1"/>
      <c r="F2602" s="1"/>
      <c r="G2602" s="1"/>
      <c r="H2602" s="1"/>
    </row>
    <row r="2603" spans="2:8" ht="12.75">
      <c r="B2603" s="14" t="s">
        <v>31</v>
      </c>
      <c r="C2603" s="23">
        <f>C2601+C2602</f>
        <v>483.36999999999995</v>
      </c>
      <c r="D2603" s="23">
        <f>D2601+D2602</f>
        <v>12.660160710731162</v>
      </c>
      <c r="E2603" s="1"/>
      <c r="F2603" s="1"/>
      <c r="G2603" s="1"/>
      <c r="H2603" s="1"/>
    </row>
    <row r="2604" spans="2:8" ht="12.75">
      <c r="B2604" s="6" t="s">
        <v>34</v>
      </c>
      <c r="C2604" s="23">
        <f>C2603/C2587/12*1000</f>
        <v>12.66016071073116</v>
      </c>
      <c r="D2604" s="8"/>
      <c r="E2604" s="1"/>
      <c r="F2604" s="1"/>
      <c r="G2604" s="1"/>
      <c r="H2604" s="1"/>
    </row>
    <row r="2605" spans="2:8" ht="12.75">
      <c r="B2605" s="1"/>
      <c r="C2605" s="1"/>
      <c r="D2605" s="1"/>
      <c r="E2605" s="1"/>
      <c r="F2605" s="1"/>
      <c r="G2605" s="1"/>
      <c r="H2605" s="1"/>
    </row>
    <row r="2606" spans="2:8" ht="12.75">
      <c r="B2606" s="1" t="s">
        <v>52</v>
      </c>
      <c r="C2606" s="1"/>
      <c r="D2606" s="1"/>
      <c r="E2606" s="1"/>
      <c r="F2606" s="1"/>
      <c r="G2606" s="1"/>
      <c r="H2606" s="1"/>
    </row>
    <row r="2607" spans="2:8" ht="12.75">
      <c r="B2607" s="1"/>
      <c r="C2607" s="1"/>
      <c r="D2607" s="1"/>
      <c r="E2607" s="1"/>
      <c r="F2607" s="1"/>
      <c r="G2607" s="1"/>
      <c r="H2607" s="1"/>
    </row>
    <row r="2608" spans="2:8" ht="12.75">
      <c r="B2608" s="2" t="s">
        <v>0</v>
      </c>
      <c r="C2608" s="2"/>
      <c r="D2608" s="2"/>
      <c r="E2608" s="1"/>
      <c r="F2608" s="1"/>
      <c r="G2608" s="1"/>
      <c r="H2608" s="1"/>
    </row>
    <row r="2609" spans="2:8" ht="12.75">
      <c r="B2609" s="2" t="s">
        <v>65</v>
      </c>
      <c r="C2609" s="2"/>
      <c r="D2609" s="2"/>
      <c r="E2609" s="1"/>
      <c r="F2609" s="1"/>
      <c r="G2609" s="1"/>
      <c r="H2609" s="1"/>
    </row>
    <row r="2610" spans="2:8" ht="12.75">
      <c r="B2610" s="2" t="s">
        <v>165</v>
      </c>
      <c r="C2610" s="2"/>
      <c r="D2610" s="2"/>
      <c r="E2610" s="1"/>
      <c r="F2610" s="1"/>
      <c r="G2610" s="1"/>
      <c r="H2610" s="1"/>
    </row>
    <row r="2611" spans="2:8" ht="12.75">
      <c r="B2611" s="3"/>
      <c r="C2611" s="3"/>
      <c r="D2611" s="1"/>
      <c r="E2611" s="1"/>
      <c r="F2611" s="1"/>
      <c r="G2611" s="1"/>
      <c r="H2611" s="1"/>
    </row>
    <row r="2612" spans="2:8" ht="12.75">
      <c r="B2612" s="5" t="s">
        <v>4</v>
      </c>
      <c r="C2612" s="31" t="s">
        <v>40</v>
      </c>
      <c r="D2612" s="6" t="s">
        <v>41</v>
      </c>
      <c r="E2612" s="1"/>
      <c r="F2612" s="1"/>
      <c r="G2612" s="1"/>
      <c r="H2612" s="1"/>
    </row>
    <row r="2613" spans="2:8" ht="12.75">
      <c r="B2613" s="6"/>
      <c r="C2613" s="6"/>
      <c r="D2613" s="7"/>
      <c r="E2613" s="1"/>
      <c r="F2613" s="1"/>
      <c r="G2613" s="1"/>
      <c r="H2613" s="1"/>
    </row>
    <row r="2614" spans="2:8" ht="12.75">
      <c r="B2614" s="10" t="s">
        <v>42</v>
      </c>
      <c r="C2614" s="8">
        <v>1527</v>
      </c>
      <c r="D2614" s="8"/>
      <c r="E2614" s="1"/>
      <c r="F2614" s="1"/>
      <c r="G2614" s="1"/>
      <c r="H2614" s="1"/>
    </row>
    <row r="2615" spans="2:8" ht="12.75">
      <c r="B2615" s="11" t="s">
        <v>13</v>
      </c>
      <c r="C2615" s="32">
        <v>31.32</v>
      </c>
      <c r="D2615" s="14">
        <f>C2615/1527/12*1000</f>
        <v>1.7092337917485265</v>
      </c>
      <c r="E2615" s="1"/>
      <c r="F2615" s="1"/>
      <c r="G2615" s="1"/>
      <c r="H2615" s="1"/>
    </row>
    <row r="2616" spans="2:8" ht="12.75">
      <c r="B2616" s="15" t="s">
        <v>14</v>
      </c>
      <c r="C2616" s="9">
        <f>SUM(C2617:C2619)</f>
        <v>77.31</v>
      </c>
      <c r="D2616" s="9">
        <f>SUM(D2617:D2619)</f>
        <v>4.219056974459725</v>
      </c>
      <c r="E2616" s="1"/>
      <c r="F2616" s="1"/>
      <c r="G2616" s="1"/>
      <c r="H2616" s="1"/>
    </row>
    <row r="2617" spans="2:8" ht="12.75">
      <c r="B2617" s="6" t="s">
        <v>43</v>
      </c>
      <c r="C2617" s="8">
        <f>11.91+16.12</f>
        <v>28.03</v>
      </c>
      <c r="D2617" s="8">
        <f>C2617/1527/12*1000</f>
        <v>1.529687841082733</v>
      </c>
      <c r="E2617" s="1"/>
      <c r="F2617" s="1"/>
      <c r="G2617" s="1"/>
      <c r="H2617" s="1"/>
    </row>
    <row r="2618" spans="2:8" ht="12.75">
      <c r="B2618" s="17" t="s">
        <v>44</v>
      </c>
      <c r="C2618" s="8">
        <v>13.49</v>
      </c>
      <c r="D2618" s="8">
        <f>C2618/1527/12*1000</f>
        <v>0.7361929709670377</v>
      </c>
      <c r="E2618" s="1"/>
      <c r="F2618" s="1"/>
      <c r="G2618" s="1"/>
      <c r="H2618" s="1"/>
    </row>
    <row r="2619" spans="2:8" ht="12.75">
      <c r="B2619" s="6" t="s">
        <v>16</v>
      </c>
      <c r="C2619" s="8">
        <v>35.79</v>
      </c>
      <c r="D2619" s="8">
        <f>C2619/1527/12*1000</f>
        <v>1.953176162409954</v>
      </c>
      <c r="E2619" s="1"/>
      <c r="F2619" s="1"/>
      <c r="G2619" s="1"/>
      <c r="H2619" s="1"/>
    </row>
    <row r="2620" spans="2:8" ht="12.75">
      <c r="B2620" s="10" t="s">
        <v>19</v>
      </c>
      <c r="C2620" s="22">
        <f>SUM(C2621:C2625)</f>
        <v>75.91000000000001</v>
      </c>
      <c r="D2620" s="22">
        <f>SUM(D2621:D2625)</f>
        <v>4.142654442261516</v>
      </c>
      <c r="E2620" s="1"/>
      <c r="F2620" s="1"/>
      <c r="G2620" s="1"/>
      <c r="H2620" s="1"/>
    </row>
    <row r="2621" spans="2:8" ht="12.75">
      <c r="B2621" s="6" t="s">
        <v>45</v>
      </c>
      <c r="C2621" s="8">
        <f>53.83+10.87+5.45</f>
        <v>70.15</v>
      </c>
      <c r="D2621" s="8">
        <f>C2621/1527/12*1000</f>
        <v>3.828312595503166</v>
      </c>
      <c r="E2621" s="1"/>
      <c r="F2621" s="1"/>
      <c r="G2621" s="1"/>
      <c r="H2621" s="1"/>
    </row>
    <row r="2622" spans="2:8" ht="12.75">
      <c r="B2622" s="6" t="s">
        <v>46</v>
      </c>
      <c r="C2622" s="8">
        <v>0</v>
      </c>
      <c r="D2622" s="8">
        <f>C2622/1527/12*1000</f>
        <v>0</v>
      </c>
      <c r="E2622" s="1"/>
      <c r="F2622" s="1"/>
      <c r="G2622" s="1"/>
      <c r="H2622" s="1"/>
    </row>
    <row r="2623" spans="2:8" ht="12.75">
      <c r="B2623" s="20" t="s">
        <v>47</v>
      </c>
      <c r="C2623" s="8">
        <v>0.09</v>
      </c>
      <c r="D2623" s="8">
        <f>C2623/1527/12*1000</f>
        <v>0.004911591355599214</v>
      </c>
      <c r="E2623" s="1"/>
      <c r="F2623" s="1"/>
      <c r="G2623" s="1"/>
      <c r="H2623" s="1"/>
    </row>
    <row r="2624" spans="2:8" ht="12.75">
      <c r="B2624" s="8" t="s">
        <v>48</v>
      </c>
      <c r="C2624" s="8">
        <v>4.78</v>
      </c>
      <c r="D2624" s="8">
        <f>C2624/1527/12*1000</f>
        <v>0.2608600742196027</v>
      </c>
      <c r="E2624" s="1"/>
      <c r="F2624" s="1"/>
      <c r="G2624" s="1"/>
      <c r="H2624" s="1"/>
    </row>
    <row r="2625" spans="2:8" ht="12.75">
      <c r="B2625" s="8" t="s">
        <v>50</v>
      </c>
      <c r="C2625" s="8">
        <v>0.89</v>
      </c>
      <c r="D2625" s="8">
        <f>C2625/1527/12*1000</f>
        <v>0.04857018118314778</v>
      </c>
      <c r="E2625" s="1"/>
      <c r="F2625" s="1"/>
      <c r="G2625" s="1"/>
      <c r="H2625" s="1"/>
    </row>
    <row r="2626" spans="2:8" ht="12.75">
      <c r="B2626" s="14" t="s">
        <v>27</v>
      </c>
      <c r="C2626" s="14">
        <f>22.78+3.56</f>
        <v>26.34</v>
      </c>
      <c r="D2626" s="14">
        <f>C2626/1527/12*1000</f>
        <v>1.4374590700720369</v>
      </c>
      <c r="E2626" s="1"/>
      <c r="F2626" s="1"/>
      <c r="G2626" s="1"/>
      <c r="H2626" s="1"/>
    </row>
    <row r="2627" spans="2:8" ht="12.75">
      <c r="B2627" s="14"/>
      <c r="C2627" s="14"/>
      <c r="D2627" s="8"/>
      <c r="E2627" s="1"/>
      <c r="F2627" s="1"/>
      <c r="G2627" s="1"/>
      <c r="H2627" s="1"/>
    </row>
    <row r="2628" spans="2:8" ht="12.75">
      <c r="B2628" s="14" t="s">
        <v>29</v>
      </c>
      <c r="C2628" s="23">
        <f>C2615+C2616+C2620+C2626+C2627</f>
        <v>210.88000000000002</v>
      </c>
      <c r="D2628" s="23">
        <f>D2615+D2616+D2620+D2626+D2627</f>
        <v>11.508404278541803</v>
      </c>
      <c r="E2628" s="1"/>
      <c r="F2628" s="1"/>
      <c r="G2628" s="1"/>
      <c r="H2628" s="1"/>
    </row>
    <row r="2629" spans="2:8" ht="12.75">
      <c r="B2629" s="8" t="s">
        <v>51</v>
      </c>
      <c r="C2629" s="8">
        <v>21.09</v>
      </c>
      <c r="D2629" s="8">
        <f>C2629/1527/12*1000</f>
        <v>1.1509495743287492</v>
      </c>
      <c r="E2629" s="1"/>
      <c r="F2629" s="1"/>
      <c r="G2629" s="1"/>
      <c r="H2629" s="1"/>
    </row>
    <row r="2630" spans="2:8" ht="12.75">
      <c r="B2630" s="14" t="s">
        <v>31</v>
      </c>
      <c r="C2630" s="23">
        <f>C2628+C2629</f>
        <v>231.97000000000003</v>
      </c>
      <c r="D2630" s="23">
        <f>D2628+D2629</f>
        <v>12.659353852870552</v>
      </c>
      <c r="E2630" s="1"/>
      <c r="F2630" s="1"/>
      <c r="G2630" s="1"/>
      <c r="H2630" s="1"/>
    </row>
    <row r="2631" spans="2:8" ht="12.75">
      <c r="B2631" s="6" t="s">
        <v>34</v>
      </c>
      <c r="C2631" s="23">
        <f>C2630/C2614/12*1000</f>
        <v>12.659353852870556</v>
      </c>
      <c r="D2631" s="8"/>
      <c r="E2631" s="1"/>
      <c r="F2631" s="1"/>
      <c r="G2631" s="1"/>
      <c r="H2631" s="1"/>
    </row>
    <row r="2632" spans="2:8" ht="12.75">
      <c r="B2632" s="1"/>
      <c r="C2632" s="1"/>
      <c r="D2632" s="1"/>
      <c r="E2632" s="1"/>
      <c r="F2632" s="1"/>
      <c r="G2632" s="1"/>
      <c r="H2632" s="1"/>
    </row>
    <row r="2633" spans="2:8" ht="12.75">
      <c r="B2633" s="1" t="s">
        <v>52</v>
      </c>
      <c r="C2633" s="1"/>
      <c r="D2633" s="1"/>
      <c r="E2633" s="1"/>
      <c r="F2633" s="1"/>
      <c r="G2633" s="1"/>
      <c r="H2633" s="1"/>
    </row>
    <row r="2634" spans="2:8" ht="12.75">
      <c r="B2634" s="1"/>
      <c r="C2634" s="1"/>
      <c r="D2634" s="1"/>
      <c r="E2634" s="1"/>
      <c r="F2634" s="1"/>
      <c r="G2634" s="1"/>
      <c r="H2634" s="1"/>
    </row>
    <row r="2635" spans="2:8" ht="12.75">
      <c r="B2635" s="2" t="s">
        <v>0</v>
      </c>
      <c r="C2635" s="2"/>
      <c r="D2635" s="2"/>
      <c r="E2635" s="1"/>
      <c r="F2635" s="1"/>
      <c r="G2635" s="1"/>
      <c r="H2635" s="1"/>
    </row>
    <row r="2636" spans="2:8" ht="12.75">
      <c r="B2636" s="2" t="s">
        <v>65</v>
      </c>
      <c r="C2636" s="2"/>
      <c r="D2636" s="2"/>
      <c r="E2636" s="1"/>
      <c r="F2636" s="1"/>
      <c r="G2636" s="1"/>
      <c r="H2636" s="1"/>
    </row>
    <row r="2637" spans="2:8" ht="12.75">
      <c r="B2637" s="2" t="s">
        <v>166</v>
      </c>
      <c r="C2637" s="2"/>
      <c r="D2637" s="2"/>
      <c r="E2637" s="1"/>
      <c r="F2637" s="1"/>
      <c r="G2637" s="1"/>
      <c r="H2637" s="1"/>
    </row>
    <row r="2638" spans="2:8" ht="12.75">
      <c r="B2638" s="3"/>
      <c r="C2638" s="3"/>
      <c r="D2638" s="1"/>
      <c r="E2638" s="1"/>
      <c r="F2638" s="1"/>
      <c r="G2638" s="1"/>
      <c r="H2638" s="1"/>
    </row>
    <row r="2639" spans="2:8" ht="12.75">
      <c r="B2639" s="5" t="s">
        <v>4</v>
      </c>
      <c r="C2639" s="31" t="s">
        <v>40</v>
      </c>
      <c r="D2639" s="6" t="s">
        <v>41</v>
      </c>
      <c r="E2639" s="1"/>
      <c r="F2639" s="1"/>
      <c r="G2639" s="1"/>
      <c r="H2639" s="1"/>
    </row>
    <row r="2640" spans="2:8" ht="12.75">
      <c r="B2640" s="6"/>
      <c r="C2640" s="6"/>
      <c r="D2640" s="7"/>
      <c r="E2640" s="1"/>
      <c r="F2640" s="1"/>
      <c r="G2640" s="1"/>
      <c r="H2640" s="1"/>
    </row>
    <row r="2641" spans="2:8" ht="12.75">
      <c r="B2641" s="10" t="s">
        <v>42</v>
      </c>
      <c r="C2641" s="8">
        <v>1514.8</v>
      </c>
      <c r="D2641" s="8"/>
      <c r="E2641" s="1"/>
      <c r="F2641" s="1"/>
      <c r="G2641" s="1"/>
      <c r="H2641" s="1"/>
    </row>
    <row r="2642" spans="2:8" ht="12.75">
      <c r="B2642" s="11" t="s">
        <v>13</v>
      </c>
      <c r="C2642" s="32">
        <v>31.07</v>
      </c>
      <c r="D2642" s="14">
        <f>C2642/1514.8/12*1000</f>
        <v>1.7092465451984862</v>
      </c>
      <c r="E2642" s="1"/>
      <c r="F2642" s="1"/>
      <c r="G2642" s="1"/>
      <c r="H2642" s="1"/>
    </row>
    <row r="2643" spans="2:8" ht="12.75">
      <c r="B2643" s="15" t="s">
        <v>14</v>
      </c>
      <c r="C2643" s="9">
        <f>SUM(C2644:C2646)</f>
        <v>71.03999999999999</v>
      </c>
      <c r="D2643" s="9">
        <f>SUM(D2644:D2646)</f>
        <v>3.908106680749934</v>
      </c>
      <c r="E2643" s="1"/>
      <c r="F2643" s="1"/>
      <c r="G2643" s="1"/>
      <c r="H2643" s="1"/>
    </row>
    <row r="2644" spans="2:8" ht="12.75">
      <c r="B2644" s="6" t="s">
        <v>43</v>
      </c>
      <c r="C2644" s="8">
        <f>11.82+16</f>
        <v>27.82</v>
      </c>
      <c r="D2644" s="8">
        <f>C2644/1514.8/12*1000</f>
        <v>1.5304550655752134</v>
      </c>
      <c r="E2644" s="1"/>
      <c r="F2644" s="1"/>
      <c r="G2644" s="1"/>
      <c r="H2644" s="1"/>
    </row>
    <row r="2645" spans="2:8" ht="12.75">
      <c r="B2645" s="17" t="s">
        <v>44</v>
      </c>
      <c r="C2645" s="8">
        <v>13.38</v>
      </c>
      <c r="D2645" s="8">
        <f>C2645/1514.8/12*1000</f>
        <v>0.7360707684182731</v>
      </c>
      <c r="E2645" s="1"/>
      <c r="F2645" s="1"/>
      <c r="G2645" s="1"/>
      <c r="H2645" s="1"/>
    </row>
    <row r="2646" spans="2:8" ht="12.75">
      <c r="B2646" s="6" t="s">
        <v>16</v>
      </c>
      <c r="C2646" s="8">
        <v>29.84</v>
      </c>
      <c r="D2646" s="8">
        <f>C2646/1514.8/12*1000</f>
        <v>1.6415808467564474</v>
      </c>
      <c r="E2646" s="1"/>
      <c r="F2646" s="1"/>
      <c r="G2646" s="1"/>
      <c r="H2646" s="1"/>
    </row>
    <row r="2647" spans="2:8" ht="12.75">
      <c r="B2647" s="10" t="s">
        <v>19</v>
      </c>
      <c r="C2647" s="22">
        <f>SUM(C2648:C2652)</f>
        <v>80.97</v>
      </c>
      <c r="D2647" s="22">
        <f>SUM(D2648:D2652)</f>
        <v>4.454383416952734</v>
      </c>
      <c r="E2647" s="1"/>
      <c r="F2647" s="1"/>
      <c r="G2647" s="1"/>
      <c r="H2647" s="1"/>
    </row>
    <row r="2648" spans="2:8" ht="12.75">
      <c r="B2648" s="6" t="s">
        <v>45</v>
      </c>
      <c r="C2648" s="8">
        <f>57.38+11.59+5.81</f>
        <v>74.78</v>
      </c>
      <c r="D2648" s="8">
        <f>C2648/1514.8/12*1000</f>
        <v>4.1138544142241</v>
      </c>
      <c r="E2648" s="1"/>
      <c r="F2648" s="1"/>
      <c r="G2648" s="1"/>
      <c r="H2648" s="1"/>
    </row>
    <row r="2649" spans="2:8" ht="12.75">
      <c r="B2649" s="6" t="s">
        <v>46</v>
      </c>
      <c r="C2649" s="8">
        <v>0</v>
      </c>
      <c r="D2649" s="8">
        <f>C2649/1514.8/12*1000</f>
        <v>0</v>
      </c>
      <c r="E2649" s="1"/>
      <c r="F2649" s="1"/>
      <c r="G2649" s="1"/>
      <c r="H2649" s="1"/>
    </row>
    <row r="2650" spans="2:8" ht="12.75">
      <c r="B2650" s="20" t="s">
        <v>47</v>
      </c>
      <c r="C2650" s="8">
        <v>0.09</v>
      </c>
      <c r="D2650" s="8">
        <f>C2650/1514.8/12*1000</f>
        <v>0.0049511486664906255</v>
      </c>
      <c r="E2650" s="1"/>
      <c r="F2650" s="1"/>
      <c r="G2650" s="1"/>
      <c r="H2650" s="1"/>
    </row>
    <row r="2651" spans="2:8" ht="12.75">
      <c r="B2651" s="8" t="s">
        <v>48</v>
      </c>
      <c r="C2651" s="8">
        <v>4.78</v>
      </c>
      <c r="D2651" s="8">
        <f>C2651/1514.8/12*1000</f>
        <v>0.26296100695361324</v>
      </c>
      <c r="E2651" s="1"/>
      <c r="F2651" s="1"/>
      <c r="G2651" s="1"/>
      <c r="H2651" s="1"/>
    </row>
    <row r="2652" spans="2:8" ht="12.75">
      <c r="B2652" s="8" t="s">
        <v>50</v>
      </c>
      <c r="C2652" s="8">
        <v>1.32</v>
      </c>
      <c r="D2652" s="8">
        <f>C2652/1514.8/12*1000</f>
        <v>0.07261684710852918</v>
      </c>
      <c r="E2652" s="1"/>
      <c r="F2652" s="1"/>
      <c r="G2652" s="1"/>
      <c r="H2652" s="1"/>
    </row>
    <row r="2653" spans="2:8" ht="12.75">
      <c r="B2653" s="14" t="s">
        <v>27</v>
      </c>
      <c r="C2653" s="14">
        <f>22.6+3.53</f>
        <v>26.130000000000003</v>
      </c>
      <c r="D2653" s="14">
        <f>C2653/1514.8/12*1000</f>
        <v>1.4374834961711118</v>
      </c>
      <c r="E2653" s="1"/>
      <c r="F2653" s="1"/>
      <c r="G2653" s="1"/>
      <c r="H2653" s="1"/>
    </row>
    <row r="2654" spans="2:8" ht="12.75">
      <c r="B2654" s="14"/>
      <c r="C2654" s="14"/>
      <c r="D2654" s="8"/>
      <c r="E2654" s="1"/>
      <c r="F2654" s="1"/>
      <c r="G2654" s="1"/>
      <c r="H2654" s="1"/>
    </row>
    <row r="2655" spans="2:8" ht="12.75">
      <c r="B2655" s="14" t="s">
        <v>29</v>
      </c>
      <c r="C2655" s="23">
        <f>C2642+C2643+C2647+C2653+C2654</f>
        <v>209.20999999999998</v>
      </c>
      <c r="D2655" s="23">
        <f>D2642+D2643+D2647+D2653+D2654</f>
        <v>11.509220139072266</v>
      </c>
      <c r="E2655" s="1"/>
      <c r="F2655" s="1"/>
      <c r="G2655" s="1"/>
      <c r="H2655" s="1"/>
    </row>
    <row r="2656" spans="2:8" ht="12.75">
      <c r="B2656" s="8" t="s">
        <v>51</v>
      </c>
      <c r="C2656" s="8">
        <v>20.91</v>
      </c>
      <c r="D2656" s="8">
        <f>C2656/1514.8/12*1000</f>
        <v>1.1503168735146556</v>
      </c>
      <c r="E2656" s="1"/>
      <c r="F2656" s="1"/>
      <c r="G2656" s="1"/>
      <c r="H2656" s="1"/>
    </row>
    <row r="2657" spans="2:8" ht="12.75">
      <c r="B2657" s="14" t="s">
        <v>31</v>
      </c>
      <c r="C2657" s="23">
        <f>C2655+C2656</f>
        <v>230.11999999999998</v>
      </c>
      <c r="D2657" s="23">
        <f>D2655+D2656</f>
        <v>12.659537012586922</v>
      </c>
      <c r="E2657" s="1"/>
      <c r="F2657" s="1"/>
      <c r="G2657" s="1"/>
      <c r="H2657" s="1"/>
    </row>
    <row r="2658" spans="2:8" ht="12.75">
      <c r="B2658" s="6" t="s">
        <v>34</v>
      </c>
      <c r="C2658" s="23">
        <f>C2657/C2641/12*1000</f>
        <v>12.659537012586918</v>
      </c>
      <c r="D2658" s="8"/>
      <c r="E2658" s="1"/>
      <c r="F2658" s="1"/>
      <c r="G2658" s="1"/>
      <c r="H2658" s="1"/>
    </row>
    <row r="2659" spans="2:8" ht="12.75">
      <c r="B2659" s="1"/>
      <c r="C2659" s="1"/>
      <c r="D2659" s="1"/>
      <c r="E2659" s="1"/>
      <c r="F2659" s="1"/>
      <c r="G2659" s="1"/>
      <c r="H2659" s="1"/>
    </row>
    <row r="2660" spans="2:8" ht="12.75">
      <c r="B2660" s="1" t="s">
        <v>52</v>
      </c>
      <c r="C2660" s="1"/>
      <c r="D2660" s="1"/>
      <c r="E2660" s="1"/>
      <c r="F2660" s="1"/>
      <c r="G2660" s="1"/>
      <c r="H2660" s="1"/>
    </row>
    <row r="2661" spans="2:8" ht="12.75">
      <c r="B2661" s="1"/>
      <c r="C2661" s="1"/>
      <c r="D2661" s="1"/>
      <c r="E2661" s="1"/>
      <c r="F2661" s="1"/>
      <c r="G2661" s="1"/>
      <c r="H2661" s="1"/>
    </row>
    <row r="2662" spans="2:8" ht="12.75">
      <c r="B2662" s="2" t="s">
        <v>0</v>
      </c>
      <c r="C2662" s="2"/>
      <c r="D2662" s="2"/>
      <c r="E2662" s="1"/>
      <c r="F2662" s="1"/>
      <c r="G2662" s="1"/>
      <c r="H2662" s="1"/>
    </row>
    <row r="2663" spans="2:8" ht="12.75">
      <c r="B2663" s="2" t="s">
        <v>65</v>
      </c>
      <c r="C2663" s="2"/>
      <c r="D2663" s="2"/>
      <c r="E2663" s="1"/>
      <c r="F2663" s="1"/>
      <c r="G2663" s="1"/>
      <c r="H2663" s="1"/>
    </row>
    <row r="2664" spans="2:8" ht="12.75">
      <c r="B2664" s="2" t="s">
        <v>167</v>
      </c>
      <c r="C2664" s="2"/>
      <c r="D2664" s="2"/>
      <c r="E2664" s="1"/>
      <c r="F2664" s="1"/>
      <c r="G2664" s="1"/>
      <c r="H2664" s="1"/>
    </row>
    <row r="2665" spans="2:8" ht="12.75">
      <c r="B2665" s="3"/>
      <c r="C2665" s="3"/>
      <c r="D2665" s="1"/>
      <c r="E2665" s="1"/>
      <c r="F2665" s="1"/>
      <c r="G2665" s="1"/>
      <c r="H2665" s="1"/>
    </row>
    <row r="2666" spans="2:8" ht="12.75">
      <c r="B2666" s="5" t="s">
        <v>4</v>
      </c>
      <c r="C2666" s="31" t="s">
        <v>40</v>
      </c>
      <c r="D2666" s="6" t="s">
        <v>41</v>
      </c>
      <c r="E2666" s="1"/>
      <c r="F2666" s="1"/>
      <c r="G2666" s="1"/>
      <c r="H2666" s="1"/>
    </row>
    <row r="2667" spans="2:8" ht="12.75">
      <c r="B2667" s="6"/>
      <c r="C2667" s="6"/>
      <c r="D2667" s="7"/>
      <c r="E2667" s="1"/>
      <c r="F2667" s="1"/>
      <c r="G2667" s="1"/>
      <c r="H2667" s="1"/>
    </row>
    <row r="2668" spans="2:8" ht="12.75">
      <c r="B2668" s="10" t="s">
        <v>42</v>
      </c>
      <c r="C2668" s="8">
        <v>1491.3</v>
      </c>
      <c r="D2668" s="8"/>
      <c r="E2668" s="1"/>
      <c r="F2668" s="1"/>
      <c r="G2668" s="1"/>
      <c r="H2668" s="1"/>
    </row>
    <row r="2669" spans="2:8" ht="12.75">
      <c r="B2669" s="11" t="s">
        <v>13</v>
      </c>
      <c r="C2669" s="32">
        <v>30.59</v>
      </c>
      <c r="D2669" s="14">
        <f>C2669/1491.3/12*1000</f>
        <v>1.7093587250497329</v>
      </c>
      <c r="E2669" s="1"/>
      <c r="F2669" s="1"/>
      <c r="G2669" s="1"/>
      <c r="H2669" s="1"/>
    </row>
    <row r="2670" spans="2:8" ht="12.75">
      <c r="B2670" s="15" t="s">
        <v>14</v>
      </c>
      <c r="C2670" s="9">
        <f>SUM(C2671:C2673)</f>
        <v>66.66</v>
      </c>
      <c r="D2670" s="9">
        <f>SUM(D2671:D2673)</f>
        <v>3.724937973580098</v>
      </c>
      <c r="E2670" s="1"/>
      <c r="F2670" s="1"/>
      <c r="G2670" s="1"/>
      <c r="H2670" s="1"/>
    </row>
    <row r="2671" spans="2:8" ht="12.75">
      <c r="B2671" s="6" t="s">
        <v>43</v>
      </c>
      <c r="C2671" s="8">
        <f>11.63+15.75</f>
        <v>27.380000000000003</v>
      </c>
      <c r="D2671" s="8">
        <f>C2671/1491.3/12*1000</f>
        <v>1.5299850242517716</v>
      </c>
      <c r="E2671" s="1"/>
      <c r="F2671" s="1"/>
      <c r="G2671" s="1"/>
      <c r="H2671" s="1"/>
    </row>
    <row r="2672" spans="2:8" ht="12.75">
      <c r="B2672" s="17" t="s">
        <v>44</v>
      </c>
      <c r="C2672" s="8">
        <v>13.17</v>
      </c>
      <c r="D2672" s="8">
        <f>C2672/1491.3/12*1000</f>
        <v>0.7359350901897673</v>
      </c>
      <c r="E2672" s="1"/>
      <c r="F2672" s="1"/>
      <c r="G2672" s="1"/>
      <c r="H2672" s="1"/>
    </row>
    <row r="2673" spans="2:8" ht="12.75">
      <c r="B2673" s="6" t="s">
        <v>16</v>
      </c>
      <c r="C2673" s="8">
        <v>26.11</v>
      </c>
      <c r="D2673" s="8">
        <f>C2673/1491.3/12*1000</f>
        <v>1.459017859138559</v>
      </c>
      <c r="E2673" s="1"/>
      <c r="F2673" s="1"/>
      <c r="G2673" s="1"/>
      <c r="H2673" s="1"/>
    </row>
    <row r="2674" spans="2:8" ht="12.75">
      <c r="B2674" s="10" t="s">
        <v>19</v>
      </c>
      <c r="C2674" s="22">
        <f>SUM(C2675:C2679)</f>
        <v>83</v>
      </c>
      <c r="D2674" s="22">
        <f>SUM(D2675:D2679)</f>
        <v>4.638011578265049</v>
      </c>
      <c r="E2674" s="1"/>
      <c r="F2674" s="1"/>
      <c r="G2674" s="1"/>
      <c r="H2674" s="1"/>
    </row>
    <row r="2675" spans="2:8" ht="12.75">
      <c r="B2675" s="6" t="s">
        <v>45</v>
      </c>
      <c r="C2675" s="8">
        <f>59.14+11.95+5.99</f>
        <v>77.08</v>
      </c>
      <c r="D2675" s="8">
        <f>C2675/1491.3/12*1000</f>
        <v>4.307204005453855</v>
      </c>
      <c r="E2675" s="1"/>
      <c r="F2675" s="1"/>
      <c r="G2675" s="1"/>
      <c r="H2675" s="1"/>
    </row>
    <row r="2676" spans="2:8" ht="12.75">
      <c r="B2676" s="6" t="s">
        <v>46</v>
      </c>
      <c r="C2676" s="8">
        <v>0</v>
      </c>
      <c r="D2676" s="8">
        <f>C2676/1491.3/12*1000</f>
        <v>0</v>
      </c>
      <c r="E2676" s="1"/>
      <c r="F2676" s="1"/>
      <c r="G2676" s="1"/>
      <c r="H2676" s="1"/>
    </row>
    <row r="2677" spans="2:8" ht="12.75">
      <c r="B2677" s="20" t="s">
        <v>47</v>
      </c>
      <c r="C2677" s="8">
        <v>0.09</v>
      </c>
      <c r="D2677" s="8">
        <f>C2677/1491.3/12*1000</f>
        <v>0.005029169181251257</v>
      </c>
      <c r="E2677" s="1"/>
      <c r="F2677" s="1"/>
      <c r="G2677" s="1"/>
      <c r="H2677" s="1"/>
    </row>
    <row r="2678" spans="2:8" ht="12.75">
      <c r="B2678" s="8" t="s">
        <v>48</v>
      </c>
      <c r="C2678" s="8">
        <v>4.78</v>
      </c>
      <c r="D2678" s="8">
        <f>C2678/1491.3/12*1000</f>
        <v>0.26710476318201126</v>
      </c>
      <c r="E2678" s="1"/>
      <c r="F2678" s="1"/>
      <c r="G2678" s="1"/>
      <c r="H2678" s="1"/>
    </row>
    <row r="2679" spans="2:8" ht="12.75">
      <c r="B2679" s="8" t="s">
        <v>50</v>
      </c>
      <c r="C2679" s="8">
        <v>1.05</v>
      </c>
      <c r="D2679" s="8">
        <f>C2679/1491.3/12*1000</f>
        <v>0.058673640447931344</v>
      </c>
      <c r="E2679" s="1"/>
      <c r="F2679" s="1"/>
      <c r="G2679" s="1"/>
      <c r="H2679" s="1"/>
    </row>
    <row r="2680" spans="2:8" ht="12.75">
      <c r="B2680" s="14" t="s">
        <v>27</v>
      </c>
      <c r="C2680" s="14">
        <f>22.25+3.48</f>
        <v>25.73</v>
      </c>
      <c r="D2680" s="14">
        <f>C2680/1491.3/12*1000</f>
        <v>1.437783589262165</v>
      </c>
      <c r="E2680" s="1"/>
      <c r="F2680" s="1"/>
      <c r="G2680" s="1"/>
      <c r="H2680" s="1"/>
    </row>
    <row r="2681" spans="2:8" ht="12.75">
      <c r="B2681" s="14"/>
      <c r="C2681" s="14"/>
      <c r="D2681" s="8"/>
      <c r="E2681" s="1"/>
      <c r="F2681" s="1"/>
      <c r="G2681" s="1"/>
      <c r="H2681" s="1"/>
    </row>
    <row r="2682" spans="2:8" ht="12.75">
      <c r="B2682" s="14" t="s">
        <v>29</v>
      </c>
      <c r="C2682" s="23">
        <f>C2669+C2670+C2674+C2680+C2681</f>
        <v>205.98</v>
      </c>
      <c r="D2682" s="23">
        <f>D2669+D2670+D2674+D2680+D2681</f>
        <v>11.510091866157046</v>
      </c>
      <c r="E2682" s="1"/>
      <c r="F2682" s="1"/>
      <c r="G2682" s="1"/>
      <c r="H2682" s="1"/>
    </row>
    <row r="2683" spans="2:8" ht="12.75">
      <c r="B2683" s="8" t="s">
        <v>51</v>
      </c>
      <c r="C2683" s="8">
        <v>20.6</v>
      </c>
      <c r="D2683" s="8">
        <f>C2683/1491.3/12*1000</f>
        <v>1.1511209459308436</v>
      </c>
      <c r="E2683" s="1"/>
      <c r="F2683" s="1"/>
      <c r="G2683" s="1"/>
      <c r="H2683" s="1"/>
    </row>
    <row r="2684" spans="2:8" ht="12.75">
      <c r="B2684" s="14" t="s">
        <v>31</v>
      </c>
      <c r="C2684" s="23">
        <f>C2682+C2683</f>
        <v>226.57999999999998</v>
      </c>
      <c r="D2684" s="23">
        <f>D2682+D2683</f>
        <v>12.66121281208789</v>
      </c>
      <c r="E2684" s="1"/>
      <c r="F2684" s="1"/>
      <c r="G2684" s="1"/>
      <c r="H2684" s="1"/>
    </row>
    <row r="2685" spans="2:8" ht="12.75">
      <c r="B2685" s="6" t="s">
        <v>34</v>
      </c>
      <c r="C2685" s="23">
        <f>C2684/C2668/12*1000</f>
        <v>12.661212812087888</v>
      </c>
      <c r="D2685" s="8"/>
      <c r="E2685" s="1"/>
      <c r="F2685" s="1"/>
      <c r="G2685" s="1"/>
      <c r="H2685" s="1"/>
    </row>
    <row r="2686" spans="2:8" ht="12.75">
      <c r="B2686" s="1"/>
      <c r="C2686" s="1"/>
      <c r="D2686" s="1"/>
      <c r="E2686" s="1"/>
      <c r="F2686" s="1"/>
      <c r="G2686" s="1"/>
      <c r="H2686" s="1"/>
    </row>
    <row r="2687" spans="2:8" ht="12.75">
      <c r="B2687" s="1" t="s">
        <v>52</v>
      </c>
      <c r="C2687" s="1"/>
      <c r="D2687" s="1"/>
      <c r="E2687" s="1"/>
      <c r="F2687" s="1"/>
      <c r="G2687" s="1"/>
      <c r="H2687" s="1"/>
    </row>
    <row r="2688" spans="2:8" ht="12.75">
      <c r="B2688" s="1"/>
      <c r="C2688" s="1"/>
      <c r="D2688" s="1"/>
      <c r="E2688" s="1"/>
      <c r="F2688" s="1"/>
      <c r="G2688" s="1"/>
      <c r="H2688" s="1"/>
    </row>
    <row r="2689" spans="2:8" ht="12.75">
      <c r="B2689" s="2" t="s">
        <v>0</v>
      </c>
      <c r="C2689" s="2"/>
      <c r="D2689" s="2"/>
      <c r="E2689" s="1"/>
      <c r="F2689" s="1"/>
      <c r="G2689" s="1"/>
      <c r="H2689" s="1"/>
    </row>
    <row r="2690" spans="2:8" ht="12.75">
      <c r="B2690" s="2" t="s">
        <v>65</v>
      </c>
      <c r="C2690" s="2"/>
      <c r="D2690" s="2"/>
      <c r="E2690" s="1"/>
      <c r="F2690" s="1"/>
      <c r="G2690" s="1"/>
      <c r="H2690" s="1"/>
    </row>
    <row r="2691" spans="2:8" ht="12.75">
      <c r="B2691" s="2" t="s">
        <v>168</v>
      </c>
      <c r="C2691" s="2"/>
      <c r="D2691" s="2"/>
      <c r="E2691" s="1"/>
      <c r="F2691" s="1"/>
      <c r="G2691" s="1"/>
      <c r="H2691" s="1"/>
    </row>
    <row r="2692" spans="2:8" ht="12.75">
      <c r="B2692" s="3"/>
      <c r="C2692" s="3"/>
      <c r="D2692" s="1"/>
      <c r="E2692" s="1"/>
      <c r="F2692" s="1"/>
      <c r="G2692" s="1"/>
      <c r="H2692" s="1"/>
    </row>
    <row r="2693" spans="2:8" ht="12.75">
      <c r="B2693" s="5" t="s">
        <v>4</v>
      </c>
      <c r="C2693" s="31" t="s">
        <v>40</v>
      </c>
      <c r="D2693" s="6" t="s">
        <v>41</v>
      </c>
      <c r="E2693" s="1"/>
      <c r="F2693" s="1"/>
      <c r="G2693" s="1"/>
      <c r="H2693" s="1"/>
    </row>
    <row r="2694" spans="2:8" ht="12.75">
      <c r="B2694" s="6"/>
      <c r="C2694" s="6"/>
      <c r="D2694" s="7"/>
      <c r="E2694" s="1"/>
      <c r="F2694" s="1"/>
      <c r="G2694" s="1"/>
      <c r="H2694" s="1"/>
    </row>
    <row r="2695" spans="2:8" ht="12.75">
      <c r="B2695" s="10" t="s">
        <v>42</v>
      </c>
      <c r="C2695" s="8">
        <v>406</v>
      </c>
      <c r="D2695" s="8"/>
      <c r="E2695" s="1"/>
      <c r="F2695" s="1"/>
      <c r="G2695" s="1"/>
      <c r="H2695" s="1"/>
    </row>
    <row r="2696" spans="2:8" ht="12.75">
      <c r="B2696" s="11" t="s">
        <v>13</v>
      </c>
      <c r="C2696" s="32">
        <v>8.33</v>
      </c>
      <c r="D2696" s="14">
        <f>C2696/406/12*1000</f>
        <v>1.7097701149425288</v>
      </c>
      <c r="E2696" s="1"/>
      <c r="F2696" s="1"/>
      <c r="G2696" s="1"/>
      <c r="H2696" s="1"/>
    </row>
    <row r="2697" spans="2:8" ht="12.75">
      <c r="B2697" s="15" t="s">
        <v>14</v>
      </c>
      <c r="C2697" s="9">
        <f>SUM(C2698:C2700)</f>
        <v>24.04</v>
      </c>
      <c r="D2697" s="9">
        <f>SUM(D2698:D2700)</f>
        <v>4.93431855500821</v>
      </c>
      <c r="E2697" s="1"/>
      <c r="F2697" s="1"/>
      <c r="G2697" s="1"/>
      <c r="H2697" s="1"/>
    </row>
    <row r="2698" spans="2:8" ht="12.75">
      <c r="B2698" s="6" t="s">
        <v>43</v>
      </c>
      <c r="C2698" s="8">
        <f>3.17+4.29</f>
        <v>7.46</v>
      </c>
      <c r="D2698" s="8">
        <f>C2698/406/12*1000</f>
        <v>1.5311986863711</v>
      </c>
      <c r="E2698" s="1"/>
      <c r="F2698" s="1"/>
      <c r="G2698" s="1"/>
      <c r="H2698" s="1"/>
    </row>
    <row r="2699" spans="2:8" ht="12.75">
      <c r="B2699" s="17" t="s">
        <v>44</v>
      </c>
      <c r="C2699" s="8">
        <v>3.59</v>
      </c>
      <c r="D2699" s="8">
        <f>C2699/406/12*1000</f>
        <v>0.736863711001642</v>
      </c>
      <c r="E2699" s="1"/>
      <c r="F2699" s="1"/>
      <c r="G2699" s="1"/>
      <c r="H2699" s="1"/>
    </row>
    <row r="2700" spans="2:8" ht="12.75">
      <c r="B2700" s="6" t="s">
        <v>16</v>
      </c>
      <c r="C2700" s="8">
        <v>12.99</v>
      </c>
      <c r="D2700" s="8">
        <f>C2700/406/12*1000</f>
        <v>2.666256157635468</v>
      </c>
      <c r="E2700" s="1"/>
      <c r="F2700" s="1"/>
      <c r="G2700" s="1"/>
      <c r="H2700" s="1"/>
    </row>
    <row r="2701" spans="2:8" ht="12.75">
      <c r="B2701" s="10" t="s">
        <v>19</v>
      </c>
      <c r="C2701" s="22">
        <f>SUM(C2702:C2705)</f>
        <v>16.72</v>
      </c>
      <c r="D2701" s="22">
        <f>SUM(D2702:D2705)</f>
        <v>3.4318555008210176</v>
      </c>
      <c r="E2701" s="1"/>
      <c r="F2701" s="1"/>
      <c r="G2701" s="1"/>
      <c r="H2701" s="1"/>
    </row>
    <row r="2702" spans="2:8" ht="12.75">
      <c r="B2702" s="6" t="s">
        <v>45</v>
      </c>
      <c r="C2702" s="8">
        <f>11.79+2.38+1.19</f>
        <v>15.359999999999998</v>
      </c>
      <c r="D2702" s="8">
        <f>C2702/406/12*1000</f>
        <v>3.152709359605911</v>
      </c>
      <c r="E2702" s="1"/>
      <c r="F2702" s="1"/>
      <c r="G2702" s="1"/>
      <c r="H2702" s="1"/>
    </row>
    <row r="2703" spans="2:8" ht="12.75">
      <c r="B2703" s="6" t="s">
        <v>46</v>
      </c>
      <c r="C2703" s="8">
        <v>0</v>
      </c>
      <c r="D2703" s="8">
        <f>C2703/406/12*1000</f>
        <v>0</v>
      </c>
      <c r="E2703" s="1"/>
      <c r="F2703" s="1"/>
      <c r="G2703" s="1"/>
      <c r="H2703" s="1"/>
    </row>
    <row r="2704" spans="2:8" ht="12.75">
      <c r="B2704" s="8" t="s">
        <v>48</v>
      </c>
      <c r="C2704" s="8">
        <v>1.06</v>
      </c>
      <c r="D2704" s="8">
        <f>C2704/406/12*1000</f>
        <v>0.2175697865353038</v>
      </c>
      <c r="E2704" s="1"/>
      <c r="F2704" s="1"/>
      <c r="G2704" s="1"/>
      <c r="H2704" s="1"/>
    </row>
    <row r="2705" spans="2:8" ht="12.75">
      <c r="B2705" s="8" t="s">
        <v>50</v>
      </c>
      <c r="C2705" s="8">
        <v>0.30000000000000004</v>
      </c>
      <c r="D2705" s="8">
        <f>C2705/406/12*1000</f>
        <v>0.061576354679802964</v>
      </c>
      <c r="E2705" s="1"/>
      <c r="F2705" s="1"/>
      <c r="G2705" s="1"/>
      <c r="H2705" s="1"/>
    </row>
    <row r="2706" spans="2:8" ht="12.75">
      <c r="B2706" s="14" t="s">
        <v>27</v>
      </c>
      <c r="C2706" s="14">
        <f>6.05+0.95</f>
        <v>7</v>
      </c>
      <c r="D2706" s="14">
        <f>C2706/406/12*1000</f>
        <v>1.4367816091954022</v>
      </c>
      <c r="E2706" s="1"/>
      <c r="F2706" s="1"/>
      <c r="G2706" s="1"/>
      <c r="H2706" s="1"/>
    </row>
    <row r="2707" spans="2:8" ht="12.75">
      <c r="B2707" s="14"/>
      <c r="C2707" s="14"/>
      <c r="D2707" s="8"/>
      <c r="E2707" s="1"/>
      <c r="F2707" s="1"/>
      <c r="G2707" s="1"/>
      <c r="H2707" s="1"/>
    </row>
    <row r="2708" spans="2:8" ht="12.75">
      <c r="B2708" s="14" t="s">
        <v>29</v>
      </c>
      <c r="C2708" s="23">
        <f>C2696+C2697+C2701+C2706+C2707</f>
        <v>56.089999999999996</v>
      </c>
      <c r="D2708" s="23">
        <f>D2696+D2697+D2701+D2706+D2707</f>
        <v>11.512725779967159</v>
      </c>
      <c r="E2708" s="1"/>
      <c r="F2708" s="1"/>
      <c r="G2708" s="1"/>
      <c r="H2708" s="1"/>
    </row>
    <row r="2709" spans="2:8" ht="12.75">
      <c r="B2709" s="8" t="s">
        <v>51</v>
      </c>
      <c r="C2709" s="8">
        <v>5.61</v>
      </c>
      <c r="D2709" s="8">
        <f>C2709/406/12*1000</f>
        <v>1.1514778325123154</v>
      </c>
      <c r="E2709" s="1"/>
      <c r="F2709" s="1"/>
      <c r="G2709" s="1"/>
      <c r="H2709" s="1"/>
    </row>
    <row r="2710" spans="2:8" ht="12.75">
      <c r="B2710" s="14" t="s">
        <v>31</v>
      </c>
      <c r="C2710" s="23">
        <f>C2708+C2709</f>
        <v>61.699999999999996</v>
      </c>
      <c r="D2710" s="23">
        <f>D2708+D2709</f>
        <v>12.664203612479474</v>
      </c>
      <c r="E2710" s="1"/>
      <c r="F2710" s="1"/>
      <c r="G2710" s="1"/>
      <c r="H2710" s="1"/>
    </row>
    <row r="2711" spans="2:8" ht="12.75">
      <c r="B2711" s="6" t="s">
        <v>34</v>
      </c>
      <c r="C2711" s="23">
        <f>C2710/C2695/12*1000</f>
        <v>12.664203612479474</v>
      </c>
      <c r="D2711" s="8"/>
      <c r="E2711" s="1"/>
      <c r="F2711" s="1"/>
      <c r="G2711" s="1"/>
      <c r="H2711" s="1"/>
    </row>
    <row r="2712" spans="2:8" ht="12.75">
      <c r="B2712" s="1"/>
      <c r="C2712" s="1"/>
      <c r="D2712" s="1"/>
      <c r="E2712" s="1"/>
      <c r="F2712" s="1"/>
      <c r="G2712" s="1"/>
      <c r="H2712" s="1"/>
    </row>
    <row r="2713" spans="2:8" ht="12.75">
      <c r="B2713" s="1" t="s">
        <v>52</v>
      </c>
      <c r="C2713" s="1"/>
      <c r="D2713" s="1"/>
      <c r="E2713" s="1"/>
      <c r="F2713" s="1"/>
      <c r="G2713" s="1"/>
      <c r="H2713" s="1"/>
    </row>
    <row r="2714" spans="2:8" ht="12.75">
      <c r="B2714" s="1"/>
      <c r="C2714" s="1"/>
      <c r="D2714" s="1"/>
      <c r="E2714" s="1"/>
      <c r="F2714" s="1"/>
      <c r="G2714" s="1"/>
      <c r="H2714" s="1"/>
    </row>
    <row r="2715" spans="2:8" ht="12.75">
      <c r="B2715" s="2" t="s">
        <v>0</v>
      </c>
      <c r="C2715" s="2"/>
      <c r="D2715" s="2"/>
      <c r="E2715" s="1"/>
      <c r="F2715" s="1"/>
      <c r="G2715" s="1"/>
      <c r="H2715" s="1"/>
    </row>
    <row r="2716" spans="2:8" ht="12.75">
      <c r="B2716" s="2" t="s">
        <v>65</v>
      </c>
      <c r="C2716" s="2"/>
      <c r="D2716" s="2"/>
      <c r="E2716" s="1"/>
      <c r="F2716" s="1"/>
      <c r="G2716" s="1"/>
      <c r="H2716" s="1"/>
    </row>
    <row r="2717" spans="2:8" ht="12.75">
      <c r="B2717" s="2" t="s">
        <v>169</v>
      </c>
      <c r="C2717" s="2"/>
      <c r="D2717" s="2"/>
      <c r="E2717" s="1"/>
      <c r="F2717" s="1"/>
      <c r="G2717" s="1"/>
      <c r="H2717" s="1"/>
    </row>
    <row r="2718" spans="2:8" ht="12.75">
      <c r="B2718" s="3"/>
      <c r="C2718" s="3"/>
      <c r="D2718" s="1"/>
      <c r="E2718" s="1"/>
      <c r="F2718" s="1"/>
      <c r="G2718" s="1"/>
      <c r="H2718" s="1"/>
    </row>
    <row r="2719" spans="2:8" ht="12.75">
      <c r="B2719" s="5" t="s">
        <v>4</v>
      </c>
      <c r="C2719" s="31" t="s">
        <v>40</v>
      </c>
      <c r="D2719" s="6" t="s">
        <v>41</v>
      </c>
      <c r="E2719" s="1"/>
      <c r="F2719" s="1"/>
      <c r="G2719" s="1"/>
      <c r="H2719" s="1"/>
    </row>
    <row r="2720" spans="2:8" ht="12.75">
      <c r="B2720" s="6"/>
      <c r="C2720" s="6"/>
      <c r="D2720" s="7"/>
      <c r="E2720" s="1"/>
      <c r="F2720" s="1"/>
      <c r="G2720" s="1"/>
      <c r="H2720" s="1"/>
    </row>
    <row r="2721" spans="2:8" ht="12.75">
      <c r="B2721" s="10" t="s">
        <v>42</v>
      </c>
      <c r="C2721" s="8">
        <v>584.8</v>
      </c>
      <c r="D2721" s="8"/>
      <c r="E2721" s="1"/>
      <c r="F2721" s="1"/>
      <c r="G2721" s="1"/>
      <c r="H2721" s="1"/>
    </row>
    <row r="2722" spans="2:8" ht="12.75">
      <c r="B2722" s="11" t="s">
        <v>13</v>
      </c>
      <c r="C2722" s="30">
        <v>10.7</v>
      </c>
      <c r="D2722" s="8">
        <f>C2722/584.8/12*1000</f>
        <v>1.5247378020975835</v>
      </c>
      <c r="E2722" s="1"/>
      <c r="F2722" s="1"/>
      <c r="G2722" s="1"/>
      <c r="H2722" s="1"/>
    </row>
    <row r="2723" spans="2:8" ht="12.75">
      <c r="B2723" s="15" t="s">
        <v>14</v>
      </c>
      <c r="C2723" s="9">
        <f>SUM(C2724:C2726)</f>
        <v>17.72</v>
      </c>
      <c r="D2723" s="9">
        <f>SUM(D2724:D2726)</f>
        <v>2.525079799361605</v>
      </c>
      <c r="E2723" s="1"/>
      <c r="F2723" s="1"/>
      <c r="G2723" s="1"/>
      <c r="H2723" s="1"/>
    </row>
    <row r="2724" spans="2:8" ht="12.75">
      <c r="B2724" s="6" t="s">
        <v>43</v>
      </c>
      <c r="C2724" s="8">
        <f>4.56+0</f>
        <v>4.5600000000000005</v>
      </c>
      <c r="D2724" s="8">
        <f>C2724/584.8/12*1000</f>
        <v>0.649794801641587</v>
      </c>
      <c r="E2724" s="1"/>
      <c r="F2724" s="1"/>
      <c r="G2724" s="1"/>
      <c r="H2724" s="1"/>
    </row>
    <row r="2725" spans="2:8" ht="12.75">
      <c r="B2725" s="17" t="s">
        <v>44</v>
      </c>
      <c r="C2725" s="8">
        <v>5.17</v>
      </c>
      <c r="D2725" s="8">
        <f>C2725/584.8/12*1000</f>
        <v>0.7367191062471501</v>
      </c>
      <c r="E2725" s="1"/>
      <c r="F2725" s="1"/>
      <c r="G2725" s="1"/>
      <c r="H2725" s="1"/>
    </row>
    <row r="2726" spans="2:8" ht="12.75">
      <c r="B2726" s="6" t="s">
        <v>16</v>
      </c>
      <c r="C2726" s="8">
        <v>7.99</v>
      </c>
      <c r="D2726" s="8">
        <f>C2726/584.8/12*1000</f>
        <v>1.1385658914728682</v>
      </c>
      <c r="E2726" s="1"/>
      <c r="F2726" s="1"/>
      <c r="G2726" s="1"/>
      <c r="H2726" s="1"/>
    </row>
    <row r="2727" spans="2:8" ht="12.75">
      <c r="B2727" s="10" t="s">
        <v>19</v>
      </c>
      <c r="C2727" s="22">
        <f>SUM(C2728:C2732)</f>
        <v>33.68000000000001</v>
      </c>
      <c r="D2727" s="22">
        <f>SUM(D2728:D2732)</f>
        <v>4.79936160510716</v>
      </c>
      <c r="E2727" s="1"/>
      <c r="F2727" s="1"/>
      <c r="G2727" s="1"/>
      <c r="H2727" s="1"/>
    </row>
    <row r="2728" spans="2:8" ht="12.75">
      <c r="B2728" s="6" t="s">
        <v>45</v>
      </c>
      <c r="C2728" s="8">
        <f>19.16+3.87+1.94</f>
        <v>24.970000000000002</v>
      </c>
      <c r="D2728" s="8">
        <f>C2728/584.8/12*1000</f>
        <v>3.5581965344277253</v>
      </c>
      <c r="E2728" s="1"/>
      <c r="F2728" s="1"/>
      <c r="G2728" s="1"/>
      <c r="H2728" s="1"/>
    </row>
    <row r="2729" spans="2:8" ht="12.75">
      <c r="B2729" s="6" t="s">
        <v>46</v>
      </c>
      <c r="C2729" s="8">
        <v>0</v>
      </c>
      <c r="D2729" s="8">
        <f>C2729/584.8/12*1000</f>
        <v>0</v>
      </c>
      <c r="E2729" s="1"/>
      <c r="F2729" s="1"/>
      <c r="G2729" s="1"/>
      <c r="H2729" s="1"/>
    </row>
    <row r="2730" spans="2:8" ht="12.75">
      <c r="B2730" s="8" t="s">
        <v>48</v>
      </c>
      <c r="C2730" s="8">
        <v>3.19</v>
      </c>
      <c r="D2730" s="8">
        <f>C2730/584.8/12*1000</f>
        <v>0.45457136342909255</v>
      </c>
      <c r="E2730" s="1"/>
      <c r="F2730" s="1"/>
      <c r="G2730" s="1"/>
      <c r="H2730" s="1"/>
    </row>
    <row r="2731" spans="2:8" ht="12.75">
      <c r="B2731" s="8" t="s">
        <v>67</v>
      </c>
      <c r="C2731" s="8">
        <v>4.71</v>
      </c>
      <c r="D2731" s="8">
        <f>C2731/584.8/12*1000</f>
        <v>0.671169630642955</v>
      </c>
      <c r="E2731" s="1"/>
      <c r="F2731" s="1"/>
      <c r="G2731" s="1"/>
      <c r="H2731" s="1"/>
    </row>
    <row r="2732" spans="2:8" ht="12.75">
      <c r="B2732" s="8" t="s">
        <v>50</v>
      </c>
      <c r="C2732" s="8">
        <v>0.81</v>
      </c>
      <c r="D2732" s="8">
        <f>C2732/584.8/12*1000</f>
        <v>0.11542407660738715</v>
      </c>
      <c r="E2732" s="1"/>
      <c r="F2732" s="1"/>
      <c r="G2732" s="1"/>
      <c r="H2732" s="1"/>
    </row>
    <row r="2733" spans="2:8" ht="12.75">
      <c r="B2733" s="14" t="s">
        <v>27</v>
      </c>
      <c r="C2733" s="14">
        <f>8.72+1.22</f>
        <v>9.940000000000001</v>
      </c>
      <c r="D2733" s="14">
        <f>C2733/584.8/12*1000</f>
        <v>1.4164386684906525</v>
      </c>
      <c r="E2733" s="1"/>
      <c r="F2733" s="1"/>
      <c r="G2733" s="1"/>
      <c r="H2733" s="1"/>
    </row>
    <row r="2734" spans="2:8" ht="12.75">
      <c r="B2734" s="14"/>
      <c r="C2734" s="14"/>
      <c r="D2734" s="8"/>
      <c r="E2734" s="1"/>
      <c r="F2734" s="1"/>
      <c r="G2734" s="1"/>
      <c r="H2734" s="1"/>
    </row>
    <row r="2735" spans="2:8" ht="12.75">
      <c r="B2735" s="14" t="s">
        <v>29</v>
      </c>
      <c r="C2735" s="23">
        <f>C2722+C2723+C2727+C2733+C2734</f>
        <v>72.04</v>
      </c>
      <c r="D2735" s="23">
        <f>D2722+D2723+D2727+D2733+D2734</f>
        <v>10.265617875057002</v>
      </c>
      <c r="E2735" s="1"/>
      <c r="F2735" s="1"/>
      <c r="G2735" s="1"/>
      <c r="H2735" s="1"/>
    </row>
    <row r="2736" spans="2:8" ht="12.75">
      <c r="B2736" s="8" t="s">
        <v>51</v>
      </c>
      <c r="C2736" s="8">
        <v>7.2</v>
      </c>
      <c r="D2736" s="8">
        <f>C2736/584.8/12*1000</f>
        <v>1.0259917920656636</v>
      </c>
      <c r="E2736" s="1"/>
      <c r="F2736" s="1"/>
      <c r="G2736" s="1"/>
      <c r="H2736" s="1"/>
    </row>
    <row r="2737" spans="2:8" ht="12.75">
      <c r="B2737" s="14" t="s">
        <v>31</v>
      </c>
      <c r="C2737" s="23">
        <f>C2735+C2736</f>
        <v>79.24000000000001</v>
      </c>
      <c r="D2737" s="23">
        <f>D2735+D2736</f>
        <v>11.291609667122666</v>
      </c>
      <c r="E2737" s="1"/>
      <c r="F2737" s="1"/>
      <c r="G2737" s="1"/>
      <c r="H2737" s="1"/>
    </row>
    <row r="2738" spans="2:8" ht="12.75">
      <c r="B2738" s="6" t="s">
        <v>34</v>
      </c>
      <c r="C2738" s="23">
        <f>C2737/C2721/12*1000</f>
        <v>11.291609667122666</v>
      </c>
      <c r="D2738" s="8"/>
      <c r="E2738" s="1"/>
      <c r="F2738" s="1"/>
      <c r="G2738" s="1"/>
      <c r="H2738" s="1"/>
    </row>
    <row r="2739" spans="2:8" ht="12.75">
      <c r="B2739" s="1"/>
      <c r="C2739" s="1"/>
      <c r="D2739" s="1"/>
      <c r="E2739" s="1"/>
      <c r="F2739" s="1"/>
      <c r="G2739" s="1"/>
      <c r="H2739" s="1"/>
    </row>
    <row r="2740" spans="2:8" ht="12.75">
      <c r="B2740" s="1" t="s">
        <v>52</v>
      </c>
      <c r="C2740" s="1"/>
      <c r="D2740" s="1"/>
      <c r="E2740" s="1"/>
      <c r="F2740" s="1"/>
      <c r="G2740" s="1"/>
      <c r="H2740" s="1"/>
    </row>
    <row r="2741" spans="2:8" ht="12.75">
      <c r="B2741" s="1"/>
      <c r="C2741" s="1"/>
      <c r="D2741" s="1"/>
      <c r="E2741" s="1"/>
      <c r="F2741" s="1"/>
      <c r="G2741" s="1"/>
      <c r="H2741" s="1"/>
    </row>
    <row r="2742" spans="2:8" ht="12.75">
      <c r="B2742" s="2" t="s">
        <v>0</v>
      </c>
      <c r="C2742" s="2"/>
      <c r="D2742" s="2"/>
      <c r="E2742" s="1"/>
      <c r="F2742" s="1"/>
      <c r="G2742" s="1"/>
      <c r="H2742" s="1"/>
    </row>
    <row r="2743" spans="2:8" ht="12.75">
      <c r="B2743" s="2" t="s">
        <v>65</v>
      </c>
      <c r="C2743" s="2"/>
      <c r="D2743" s="2"/>
      <c r="E2743" s="1"/>
      <c r="F2743" s="1"/>
      <c r="G2743" s="1"/>
      <c r="H2743" s="1"/>
    </row>
    <row r="2744" spans="2:8" ht="12.75">
      <c r="B2744" s="2" t="s">
        <v>170</v>
      </c>
      <c r="C2744" s="2"/>
      <c r="D2744" s="2"/>
      <c r="E2744" s="1"/>
      <c r="F2744" s="1"/>
      <c r="G2744" s="1"/>
      <c r="H2744" s="1"/>
    </row>
    <row r="2745" spans="2:8" ht="12.75">
      <c r="B2745" s="3"/>
      <c r="C2745" s="3"/>
      <c r="D2745" s="1"/>
      <c r="E2745" s="1"/>
      <c r="F2745" s="1"/>
      <c r="G2745" s="1"/>
      <c r="H2745" s="1"/>
    </row>
    <row r="2746" spans="2:8" ht="12.75">
      <c r="B2746" s="5" t="s">
        <v>4</v>
      </c>
      <c r="C2746" s="31" t="s">
        <v>40</v>
      </c>
      <c r="D2746" s="6" t="s">
        <v>41</v>
      </c>
      <c r="E2746" s="1"/>
      <c r="F2746" s="1"/>
      <c r="G2746" s="1"/>
      <c r="H2746" s="1"/>
    </row>
    <row r="2747" spans="2:8" ht="12.75">
      <c r="B2747" s="6"/>
      <c r="C2747" s="6"/>
      <c r="D2747" s="7"/>
      <c r="E2747" s="1"/>
      <c r="F2747" s="1"/>
      <c r="G2747" s="1"/>
      <c r="H2747" s="1"/>
    </row>
    <row r="2748" spans="2:8" ht="12.75">
      <c r="B2748" s="10" t="s">
        <v>42</v>
      </c>
      <c r="C2748" s="8">
        <v>404.8</v>
      </c>
      <c r="D2748" s="8"/>
      <c r="E2748" s="1"/>
      <c r="F2748" s="1"/>
      <c r="G2748" s="1"/>
      <c r="H2748" s="1"/>
    </row>
    <row r="2749" spans="2:8" ht="12.75">
      <c r="B2749" s="11" t="s">
        <v>13</v>
      </c>
      <c r="C2749" s="32">
        <v>4.83</v>
      </c>
      <c r="D2749" s="14">
        <f>C2749/404.8/12*1000</f>
        <v>0.9943181818181819</v>
      </c>
      <c r="E2749" s="1"/>
      <c r="F2749" s="1"/>
      <c r="G2749" s="1"/>
      <c r="H2749" s="1"/>
    </row>
    <row r="2750" spans="2:8" ht="12.75">
      <c r="B2750" s="15" t="s">
        <v>14</v>
      </c>
      <c r="C2750" s="9">
        <f>SUM(C2751:C2753)</f>
        <v>18.840000000000003</v>
      </c>
      <c r="D2750" s="9">
        <f>SUM(D2751:D2753)</f>
        <v>3.878458498023716</v>
      </c>
      <c r="E2750" s="1"/>
      <c r="F2750" s="1"/>
      <c r="G2750" s="1"/>
      <c r="H2750" s="1"/>
    </row>
    <row r="2751" spans="2:8" ht="12.75">
      <c r="B2751" s="6" t="s">
        <v>43</v>
      </c>
      <c r="C2751" s="8">
        <f>3.16</f>
        <v>3.16</v>
      </c>
      <c r="D2751" s="8">
        <f>C2751/404.8/12*1000</f>
        <v>0.6505270092226614</v>
      </c>
      <c r="E2751" s="1"/>
      <c r="F2751" s="1"/>
      <c r="G2751" s="1"/>
      <c r="H2751" s="1"/>
    </row>
    <row r="2752" spans="2:8" ht="12.75">
      <c r="B2752" s="17" t="s">
        <v>44</v>
      </c>
      <c r="C2752" s="8">
        <v>3.58</v>
      </c>
      <c r="D2752" s="8">
        <f>C2752/404.8/12*1000</f>
        <v>0.7369894598155468</v>
      </c>
      <c r="E2752" s="1"/>
      <c r="F2752" s="1"/>
      <c r="G2752" s="1"/>
      <c r="H2752" s="1"/>
    </row>
    <row r="2753" spans="2:8" ht="12.75">
      <c r="B2753" s="6" t="s">
        <v>16</v>
      </c>
      <c r="C2753" s="8">
        <f>11.46+0.64</f>
        <v>12.100000000000001</v>
      </c>
      <c r="D2753" s="8">
        <f>C2753/404.8/12*1000</f>
        <v>2.4909420289855073</v>
      </c>
      <c r="E2753" s="1"/>
      <c r="F2753" s="1"/>
      <c r="G2753" s="1"/>
      <c r="H2753" s="1"/>
    </row>
    <row r="2754" spans="2:8" ht="12.75">
      <c r="B2754" s="10" t="s">
        <v>19</v>
      </c>
      <c r="C2754" s="22">
        <f>SUM(C2755:C2757)</f>
        <v>2.26</v>
      </c>
      <c r="D2754" s="22">
        <f>SUM(D2755:D2757)</f>
        <v>0.4652503293807641</v>
      </c>
      <c r="E2754" s="1"/>
      <c r="F2754" s="1"/>
      <c r="G2754" s="1"/>
      <c r="H2754" s="1"/>
    </row>
    <row r="2755" spans="2:8" ht="12.75">
      <c r="B2755" s="6" t="s">
        <v>45</v>
      </c>
      <c r="C2755" s="8"/>
      <c r="D2755" s="8">
        <f>C2755/404.8/12*1000</f>
        <v>0</v>
      </c>
      <c r="E2755" s="1"/>
      <c r="F2755" s="1"/>
      <c r="G2755" s="1"/>
      <c r="H2755" s="1"/>
    </row>
    <row r="2756" spans="2:8" ht="12.75">
      <c r="B2756" s="8" t="s">
        <v>48</v>
      </c>
      <c r="C2756" s="8">
        <v>2.26</v>
      </c>
      <c r="D2756" s="8">
        <f>C2756/404.8/12*1000</f>
        <v>0.4652503293807641</v>
      </c>
      <c r="E2756" s="1"/>
      <c r="F2756" s="1"/>
      <c r="G2756" s="1"/>
      <c r="H2756" s="1"/>
    </row>
    <row r="2757" spans="2:8" ht="12.75">
      <c r="B2757" s="8" t="s">
        <v>50</v>
      </c>
      <c r="C2757" s="8">
        <v>0</v>
      </c>
      <c r="D2757" s="8">
        <f>C2757/404.8/12*1000</f>
        <v>0</v>
      </c>
      <c r="E2757" s="1"/>
      <c r="F2757" s="1"/>
      <c r="G2757" s="1"/>
      <c r="H2757" s="1"/>
    </row>
    <row r="2758" spans="2:8" ht="12.75">
      <c r="B2758" s="14" t="s">
        <v>27</v>
      </c>
      <c r="C2758" s="14">
        <f>6.04+0.55</f>
        <v>6.59</v>
      </c>
      <c r="D2758" s="14">
        <f>C2758/404.8/12*1000</f>
        <v>1.3566370223978919</v>
      </c>
      <c r="E2758" s="1"/>
      <c r="F2758" s="1"/>
      <c r="G2758" s="1"/>
      <c r="H2758" s="1"/>
    </row>
    <row r="2759" spans="2:8" ht="12.75">
      <c r="B2759" s="14"/>
      <c r="C2759" s="14"/>
      <c r="D2759" s="8"/>
      <c r="E2759" s="1"/>
      <c r="F2759" s="1"/>
      <c r="G2759" s="1"/>
      <c r="H2759" s="1"/>
    </row>
    <row r="2760" spans="2:8" ht="12.75">
      <c r="B2760" s="14" t="s">
        <v>29</v>
      </c>
      <c r="C2760" s="23">
        <f>C2749+C2750+C2754+C2758+C2759</f>
        <v>32.519999999999996</v>
      </c>
      <c r="D2760" s="23">
        <f>D2749+D2750+D2754+D2758+D2759</f>
        <v>6.694664031620553</v>
      </c>
      <c r="E2760" s="1"/>
      <c r="F2760" s="1"/>
      <c r="G2760" s="1"/>
      <c r="H2760" s="1"/>
    </row>
    <row r="2761" spans="2:8" ht="12.75">
      <c r="B2761" s="8" t="s">
        <v>51</v>
      </c>
      <c r="C2761" s="8">
        <v>3.25</v>
      </c>
      <c r="D2761" s="8">
        <f>C2761/404.8/12*1000</f>
        <v>0.6690546772068511</v>
      </c>
      <c r="E2761" s="1"/>
      <c r="F2761" s="1"/>
      <c r="G2761" s="1"/>
      <c r="H2761" s="1"/>
    </row>
    <row r="2762" spans="2:8" ht="12.75">
      <c r="B2762" s="14" t="s">
        <v>31</v>
      </c>
      <c r="C2762" s="23">
        <f>C2760+C2761</f>
        <v>35.769999999999996</v>
      </c>
      <c r="D2762" s="23">
        <f>D2760+D2761</f>
        <v>7.363718708827404</v>
      </c>
      <c r="E2762" s="1"/>
      <c r="F2762" s="1"/>
      <c r="G2762" s="1"/>
      <c r="H2762" s="1"/>
    </row>
    <row r="2763" spans="2:8" ht="12.75">
      <c r="B2763" s="6" t="s">
        <v>34</v>
      </c>
      <c r="C2763" s="23">
        <f>C2762/C2748/12*1000</f>
        <v>7.363718708827404</v>
      </c>
      <c r="D2763" s="8"/>
      <c r="E2763" s="1"/>
      <c r="F2763" s="1"/>
      <c r="G2763" s="1"/>
      <c r="H2763" s="1"/>
    </row>
    <row r="2764" spans="2:8" ht="12.75">
      <c r="B2764" s="1"/>
      <c r="C2764" s="1"/>
      <c r="D2764" s="1"/>
      <c r="E2764" s="1"/>
      <c r="F2764" s="1"/>
      <c r="G2764" s="1"/>
      <c r="H2764" s="1"/>
    </row>
    <row r="2765" spans="2:8" ht="12.75">
      <c r="B2765" s="1" t="s">
        <v>52</v>
      </c>
      <c r="C2765" s="1"/>
      <c r="D2765" s="1"/>
      <c r="E2765" s="1"/>
      <c r="F2765" s="1"/>
      <c r="G2765" s="1"/>
      <c r="H2765" s="1"/>
    </row>
    <row r="2766" spans="2:8" ht="12.75">
      <c r="B2766" s="1"/>
      <c r="C2766" s="1"/>
      <c r="D2766" s="1"/>
      <c r="E2766" s="1"/>
      <c r="F2766" s="1"/>
      <c r="G2766" s="1"/>
      <c r="H2766" s="1"/>
    </row>
    <row r="2767" spans="2:8" ht="12.75">
      <c r="B2767" s="2" t="s">
        <v>0</v>
      </c>
      <c r="C2767" s="2"/>
      <c r="D2767" s="2"/>
      <c r="E2767" s="1"/>
      <c r="F2767" s="1"/>
      <c r="G2767" s="1"/>
      <c r="H2767" s="1"/>
    </row>
    <row r="2768" spans="2:8" ht="12.75">
      <c r="B2768" s="2" t="s">
        <v>65</v>
      </c>
      <c r="C2768" s="2"/>
      <c r="D2768" s="2"/>
      <c r="E2768" s="1"/>
      <c r="F2768" s="1"/>
      <c r="G2768" s="1"/>
      <c r="H2768" s="1"/>
    </row>
    <row r="2769" spans="2:8" ht="12.75">
      <c r="B2769" s="2" t="s">
        <v>171</v>
      </c>
      <c r="C2769" s="2"/>
      <c r="D2769" s="2"/>
      <c r="E2769" s="1"/>
      <c r="F2769" s="1"/>
      <c r="G2769" s="1"/>
      <c r="H2769" s="1"/>
    </row>
    <row r="2770" spans="2:8" ht="12.75">
      <c r="B2770" s="3"/>
      <c r="C2770" s="3"/>
      <c r="D2770" s="1"/>
      <c r="E2770" s="1"/>
      <c r="F2770" s="1"/>
      <c r="G2770" s="1"/>
      <c r="H2770" s="1"/>
    </row>
    <row r="2771" spans="2:8" ht="12.75">
      <c r="B2771" s="5" t="s">
        <v>4</v>
      </c>
      <c r="C2771" s="31" t="s">
        <v>40</v>
      </c>
      <c r="D2771" s="6" t="s">
        <v>41</v>
      </c>
      <c r="E2771" s="1"/>
      <c r="F2771" s="1"/>
      <c r="G2771" s="1"/>
      <c r="H2771" s="1"/>
    </row>
    <row r="2772" spans="2:8" ht="12.75">
      <c r="B2772" s="6"/>
      <c r="C2772" s="6"/>
      <c r="D2772" s="7"/>
      <c r="E2772" s="1"/>
      <c r="F2772" s="1"/>
      <c r="G2772" s="1"/>
      <c r="H2772" s="1"/>
    </row>
    <row r="2773" spans="2:8" ht="12.75">
      <c r="B2773" s="10" t="s">
        <v>42</v>
      </c>
      <c r="C2773" s="8">
        <v>407.6</v>
      </c>
      <c r="D2773" s="8"/>
      <c r="E2773" s="1"/>
      <c r="F2773" s="1"/>
      <c r="G2773" s="1"/>
      <c r="H2773" s="1"/>
    </row>
    <row r="2774" spans="2:8" ht="12.75">
      <c r="B2774" s="11" t="s">
        <v>13</v>
      </c>
      <c r="C2774" s="32">
        <v>4.86</v>
      </c>
      <c r="D2774" s="14">
        <f>C2774/407.6/12*1000</f>
        <v>0.9936211972522079</v>
      </c>
      <c r="E2774" s="1"/>
      <c r="F2774" s="1"/>
      <c r="G2774" s="1"/>
      <c r="H2774" s="1"/>
    </row>
    <row r="2775" spans="2:8" ht="12.75">
      <c r="B2775" s="15" t="s">
        <v>14</v>
      </c>
      <c r="C2775" s="9">
        <f>SUM(C2776:C2778)</f>
        <v>19.11</v>
      </c>
      <c r="D2775" s="9">
        <f>SUM(D2776:D2778)</f>
        <v>3.9070166830225714</v>
      </c>
      <c r="E2775" s="1"/>
      <c r="F2775" s="1"/>
      <c r="G2775" s="1"/>
      <c r="H2775" s="1"/>
    </row>
    <row r="2776" spans="2:8" ht="12.75">
      <c r="B2776" s="6" t="s">
        <v>43</v>
      </c>
      <c r="C2776" s="8">
        <f>3.18</f>
        <v>3.18</v>
      </c>
      <c r="D2776" s="8">
        <f>C2776/407.6/12*1000</f>
        <v>0.6501472031403337</v>
      </c>
      <c r="E2776" s="1"/>
      <c r="F2776" s="1"/>
      <c r="G2776" s="1"/>
      <c r="H2776" s="1"/>
    </row>
    <row r="2777" spans="2:8" ht="12.75">
      <c r="B2777" s="17" t="s">
        <v>44</v>
      </c>
      <c r="C2777" s="8">
        <v>3.6</v>
      </c>
      <c r="D2777" s="8">
        <f>C2777/407.6/12*1000</f>
        <v>0.7360157016683021</v>
      </c>
      <c r="E2777" s="1"/>
      <c r="F2777" s="1"/>
      <c r="G2777" s="1"/>
      <c r="H2777" s="1"/>
    </row>
    <row r="2778" spans="2:8" ht="12.75">
      <c r="B2778" s="6" t="s">
        <v>16</v>
      </c>
      <c r="C2778" s="8">
        <f>11.69+0.64</f>
        <v>12.33</v>
      </c>
      <c r="D2778" s="8">
        <f>C2778/407.6/12*1000</f>
        <v>2.5208537782139353</v>
      </c>
      <c r="E2778" s="1"/>
      <c r="F2778" s="1"/>
      <c r="G2778" s="1"/>
      <c r="H2778" s="1"/>
    </row>
    <row r="2779" spans="2:8" ht="12.75">
      <c r="B2779" s="10" t="s">
        <v>19</v>
      </c>
      <c r="C2779" s="22">
        <f>SUM(C2780:C2782)</f>
        <v>2.12</v>
      </c>
      <c r="D2779" s="22">
        <f>SUM(D2780:D2782)</f>
        <v>0.4334314687602224</v>
      </c>
      <c r="E2779" s="1"/>
      <c r="F2779" s="1"/>
      <c r="G2779" s="1"/>
      <c r="H2779" s="1"/>
    </row>
    <row r="2780" spans="2:8" ht="12.75">
      <c r="B2780" s="6" t="s">
        <v>45</v>
      </c>
      <c r="C2780" s="8"/>
      <c r="D2780" s="8">
        <f>C2780/407.6/12*1000</f>
        <v>0</v>
      </c>
      <c r="E2780" s="1"/>
      <c r="F2780" s="1"/>
      <c r="G2780" s="1"/>
      <c r="H2780" s="1"/>
    </row>
    <row r="2781" spans="2:8" ht="12.75">
      <c r="B2781" s="8" t="s">
        <v>48</v>
      </c>
      <c r="C2781" s="8">
        <v>2.12</v>
      </c>
      <c r="D2781" s="8">
        <f>C2781/407.6/12*1000</f>
        <v>0.4334314687602224</v>
      </c>
      <c r="E2781" s="1"/>
      <c r="F2781" s="1"/>
      <c r="G2781" s="1"/>
      <c r="H2781" s="1"/>
    </row>
    <row r="2782" spans="2:8" ht="12.75">
      <c r="B2782" s="8" t="s">
        <v>50</v>
      </c>
      <c r="C2782" s="8">
        <v>0</v>
      </c>
      <c r="D2782" s="8">
        <f>C2782/407.6/12*1000</f>
        <v>0</v>
      </c>
      <c r="E2782" s="1"/>
      <c r="F2782" s="1"/>
      <c r="G2782" s="1"/>
      <c r="H2782" s="1"/>
    </row>
    <row r="2783" spans="2:8" ht="12.75">
      <c r="B2783" s="14" t="s">
        <v>27</v>
      </c>
      <c r="C2783" s="14">
        <f>6.09+0.55</f>
        <v>6.64</v>
      </c>
      <c r="D2783" s="14">
        <f>C2783/407.6/12*1000</f>
        <v>1.3575400719659794</v>
      </c>
      <c r="E2783" s="1"/>
      <c r="F2783" s="1"/>
      <c r="G2783" s="1"/>
      <c r="H2783" s="1"/>
    </row>
    <row r="2784" spans="2:8" ht="12.75">
      <c r="B2784" s="14"/>
      <c r="C2784" s="14"/>
      <c r="D2784" s="8"/>
      <c r="E2784" s="1"/>
      <c r="F2784" s="1"/>
      <c r="G2784" s="1"/>
      <c r="H2784" s="1"/>
    </row>
    <row r="2785" spans="2:8" ht="12.75">
      <c r="B2785" s="14" t="s">
        <v>29</v>
      </c>
      <c r="C2785" s="23">
        <f>C2774+C2775+C2779+C2783+C2784</f>
        <v>32.73</v>
      </c>
      <c r="D2785" s="23">
        <f>D2774+D2775+D2779+D2783+D2784</f>
        <v>6.69160942100098</v>
      </c>
      <c r="E2785" s="1"/>
      <c r="F2785" s="1"/>
      <c r="G2785" s="1"/>
      <c r="H2785" s="1"/>
    </row>
    <row r="2786" spans="2:8" ht="12.75">
      <c r="B2786" s="8" t="s">
        <v>51</v>
      </c>
      <c r="C2786" s="8">
        <v>3.27</v>
      </c>
      <c r="D2786" s="8">
        <f>C2786/407.6/12*1000</f>
        <v>0.6685475956820411</v>
      </c>
      <c r="E2786" s="1"/>
      <c r="F2786" s="1"/>
      <c r="G2786" s="1"/>
      <c r="H2786" s="1"/>
    </row>
    <row r="2787" spans="2:8" ht="12.75">
      <c r="B2787" s="14" t="s">
        <v>31</v>
      </c>
      <c r="C2787" s="23">
        <f>C2785+C2786</f>
        <v>36</v>
      </c>
      <c r="D2787" s="8">
        <f>C2787/407.6/12*1000</f>
        <v>7.360157016683022</v>
      </c>
      <c r="E2787" s="1"/>
      <c r="F2787" s="1"/>
      <c r="G2787" s="1"/>
      <c r="H2787" s="1"/>
    </row>
    <row r="2788" spans="2:8" ht="12.75">
      <c r="B2788" s="6" t="s">
        <v>34</v>
      </c>
      <c r="C2788" s="23">
        <f>C2787/C2773/12*1000</f>
        <v>7.360157016683022</v>
      </c>
      <c r="D2788" s="8"/>
      <c r="E2788" s="1"/>
      <c r="F2788" s="1"/>
      <c r="G2788" s="1"/>
      <c r="H2788" s="1"/>
    </row>
    <row r="2789" spans="2:8" ht="12.75">
      <c r="B2789" s="1"/>
      <c r="C2789" s="1"/>
      <c r="D2789" s="1"/>
      <c r="E2789" s="1"/>
      <c r="F2789" s="1"/>
      <c r="G2789" s="1"/>
      <c r="H2789" s="1"/>
    </row>
    <row r="2790" spans="2:8" ht="12.75">
      <c r="B2790" s="1" t="s">
        <v>52</v>
      </c>
      <c r="C2790" s="1"/>
      <c r="D2790" s="1"/>
      <c r="E2790" s="1"/>
      <c r="F2790" s="1"/>
      <c r="G2790" s="1"/>
      <c r="H2790" s="1"/>
    </row>
    <row r="2791" spans="2:8" ht="12.75">
      <c r="B2791" s="1"/>
      <c r="C2791" s="1"/>
      <c r="D2791" s="1"/>
      <c r="E2791" s="1"/>
      <c r="F2791" s="1"/>
      <c r="G2791" s="1"/>
      <c r="H2791" s="1"/>
    </row>
    <row r="2792" spans="2:8" ht="12.75">
      <c r="B2792" s="2" t="s">
        <v>0</v>
      </c>
      <c r="C2792" s="2"/>
      <c r="D2792" s="2"/>
      <c r="E2792" s="1"/>
      <c r="F2792" s="1"/>
      <c r="G2792" s="1"/>
      <c r="H2792" s="1"/>
    </row>
    <row r="2793" spans="2:8" ht="12.75">
      <c r="B2793" s="2" t="s">
        <v>65</v>
      </c>
      <c r="C2793" s="2"/>
      <c r="D2793" s="2"/>
      <c r="E2793" s="1"/>
      <c r="F2793" s="1"/>
      <c r="G2793" s="1"/>
      <c r="H2793" s="1"/>
    </row>
    <row r="2794" spans="2:8" ht="12.75">
      <c r="B2794" s="2" t="s">
        <v>172</v>
      </c>
      <c r="C2794" s="2"/>
      <c r="D2794" s="2"/>
      <c r="E2794" s="1"/>
      <c r="F2794" s="1"/>
      <c r="G2794" s="1"/>
      <c r="H2794" s="1"/>
    </row>
    <row r="2795" spans="2:8" ht="12.75">
      <c r="B2795" s="3"/>
      <c r="C2795" s="3"/>
      <c r="D2795" s="1"/>
      <c r="E2795" s="1"/>
      <c r="F2795" s="1"/>
      <c r="G2795" s="1"/>
      <c r="H2795" s="1"/>
    </row>
    <row r="2796" spans="2:8" ht="12.75">
      <c r="B2796" s="5" t="s">
        <v>4</v>
      </c>
      <c r="C2796" s="31" t="s">
        <v>40</v>
      </c>
      <c r="D2796" s="6" t="s">
        <v>41</v>
      </c>
      <c r="E2796" s="1"/>
      <c r="F2796" s="1"/>
      <c r="G2796" s="1"/>
      <c r="H2796" s="1"/>
    </row>
    <row r="2797" spans="2:8" ht="12.75">
      <c r="B2797" s="6"/>
      <c r="C2797" s="6"/>
      <c r="D2797" s="7"/>
      <c r="E2797" s="1"/>
      <c r="F2797" s="1"/>
      <c r="G2797" s="1"/>
      <c r="H2797" s="1"/>
    </row>
    <row r="2798" spans="2:8" ht="12.75">
      <c r="B2798" s="10" t="s">
        <v>42</v>
      </c>
      <c r="C2798" s="8">
        <v>182.9</v>
      </c>
      <c r="D2798" s="8"/>
      <c r="E2798" s="1"/>
      <c r="F2798" s="1"/>
      <c r="G2798" s="1"/>
      <c r="H2798" s="1"/>
    </row>
    <row r="2799" spans="2:8" ht="12.75">
      <c r="B2799" s="11" t="s">
        <v>13</v>
      </c>
      <c r="C2799" s="32">
        <v>2.18</v>
      </c>
      <c r="D2799" s="14">
        <f>C2799/182.9/12*1000</f>
        <v>0.9932567887734646</v>
      </c>
      <c r="E2799" s="1"/>
      <c r="F2799" s="1"/>
      <c r="G2799" s="1"/>
      <c r="H2799" s="1"/>
    </row>
    <row r="2800" spans="2:8" ht="12.75">
      <c r="B2800" s="15" t="s">
        <v>14</v>
      </c>
      <c r="C2800" s="9">
        <f>SUM(C2801:C2803)</f>
        <v>8.55</v>
      </c>
      <c r="D2800" s="9">
        <f>SUM(D2801:D2803)</f>
        <v>3.8955713504647345</v>
      </c>
      <c r="E2800" s="1"/>
      <c r="F2800" s="1"/>
      <c r="G2800" s="1"/>
      <c r="H2800" s="1"/>
    </row>
    <row r="2801" spans="2:8" ht="12.75">
      <c r="B2801" s="6" t="s">
        <v>43</v>
      </c>
      <c r="C2801" s="8">
        <f>1.43</f>
        <v>1.43</v>
      </c>
      <c r="D2801" s="8">
        <f>C2801/182.9/12*1000</f>
        <v>0.6515400036449789</v>
      </c>
      <c r="E2801" s="1"/>
      <c r="F2801" s="1"/>
      <c r="G2801" s="1"/>
      <c r="H2801" s="1"/>
    </row>
    <row r="2802" spans="2:8" ht="12.75">
      <c r="B2802" s="17" t="s">
        <v>44</v>
      </c>
      <c r="C2802" s="8">
        <v>1.62</v>
      </c>
      <c r="D2802" s="8">
        <f>C2802/182.9/12*1000</f>
        <v>0.7381082558775287</v>
      </c>
      <c r="E2802" s="1"/>
      <c r="F2802" s="1"/>
      <c r="G2802" s="1"/>
      <c r="H2802" s="1"/>
    </row>
    <row r="2803" spans="2:8" ht="12.75">
      <c r="B2803" s="6" t="s">
        <v>16</v>
      </c>
      <c r="C2803" s="8">
        <f>5.22+0.28</f>
        <v>5.5</v>
      </c>
      <c r="D2803" s="8">
        <f>C2803/182.9/12*1000</f>
        <v>2.505923090942227</v>
      </c>
      <c r="E2803" s="1"/>
      <c r="F2803" s="1"/>
      <c r="G2803" s="1"/>
      <c r="H2803" s="1"/>
    </row>
    <row r="2804" spans="2:8" ht="12.75">
      <c r="B2804" s="10" t="s">
        <v>19</v>
      </c>
      <c r="C2804" s="22">
        <f>SUM(C2805:C2807)</f>
        <v>0.99</v>
      </c>
      <c r="D2804" s="22">
        <f>SUM(D2805:D2807)</f>
        <v>0.4510661563696009</v>
      </c>
      <c r="E2804" s="1"/>
      <c r="F2804" s="1"/>
      <c r="G2804" s="1"/>
      <c r="H2804" s="1"/>
    </row>
    <row r="2805" spans="2:8" ht="12.75">
      <c r="B2805" s="6" t="s">
        <v>45</v>
      </c>
      <c r="C2805" s="8"/>
      <c r="D2805" s="8">
        <f>C2805/182.9/12*1000</f>
        <v>0</v>
      </c>
      <c r="E2805" s="1"/>
      <c r="F2805" s="1"/>
      <c r="G2805" s="1"/>
      <c r="H2805" s="1"/>
    </row>
    <row r="2806" spans="2:8" ht="12.75">
      <c r="B2806" s="8" t="s">
        <v>48</v>
      </c>
      <c r="C2806" s="8">
        <v>0.93</v>
      </c>
      <c r="D2806" s="8">
        <f>C2806/182.9/12*1000</f>
        <v>0.42372881355932207</v>
      </c>
      <c r="E2806" s="1"/>
      <c r="F2806" s="1"/>
      <c r="G2806" s="1"/>
      <c r="H2806" s="1"/>
    </row>
    <row r="2807" spans="2:8" ht="12.75">
      <c r="B2807" s="8" t="s">
        <v>50</v>
      </c>
      <c r="C2807" s="8">
        <v>0.06</v>
      </c>
      <c r="D2807" s="8">
        <f>C2807/182.9/12*1000</f>
        <v>0.027337342810278838</v>
      </c>
      <c r="E2807" s="1"/>
      <c r="F2807" s="1"/>
      <c r="G2807" s="1"/>
      <c r="H2807" s="1"/>
    </row>
    <row r="2808" spans="2:8" ht="12.75">
      <c r="B2808" s="14" t="s">
        <v>27</v>
      </c>
      <c r="C2808" s="14">
        <f>2.72+0.25</f>
        <v>2.9699999999999998</v>
      </c>
      <c r="D2808" s="14">
        <f>C2808/182.9/12*1000</f>
        <v>1.3531984691088024</v>
      </c>
      <c r="E2808" s="1"/>
      <c r="F2808" s="1"/>
      <c r="G2808" s="1"/>
      <c r="H2808" s="1"/>
    </row>
    <row r="2809" spans="2:8" ht="12.75">
      <c r="B2809" s="14"/>
      <c r="C2809" s="14"/>
      <c r="D2809" s="8"/>
      <c r="E2809" s="1"/>
      <c r="F2809" s="1"/>
      <c r="G2809" s="1"/>
      <c r="H2809" s="1"/>
    </row>
    <row r="2810" spans="2:8" ht="12.75">
      <c r="B2810" s="14" t="s">
        <v>29</v>
      </c>
      <c r="C2810" s="23">
        <f>C2799+C2800+C2804+C2808+C2809</f>
        <v>14.690000000000001</v>
      </c>
      <c r="D2810" s="23">
        <f>D2799+D2800+D2804+D2808+D2809</f>
        <v>6.693092764716602</v>
      </c>
      <c r="E2810" s="1"/>
      <c r="F2810" s="1"/>
      <c r="G2810" s="1"/>
      <c r="H2810" s="1"/>
    </row>
    <row r="2811" spans="2:8" ht="12.75">
      <c r="B2811" s="8" t="s">
        <v>51</v>
      </c>
      <c r="C2811" s="8">
        <v>1.47</v>
      </c>
      <c r="D2811" s="8">
        <f>C2811/182.9/12*1000</f>
        <v>0.6697648988518317</v>
      </c>
      <c r="E2811" s="1"/>
      <c r="F2811" s="1"/>
      <c r="G2811" s="1"/>
      <c r="H2811" s="1"/>
    </row>
    <row r="2812" spans="2:8" ht="12.75">
      <c r="B2812" s="14" t="s">
        <v>31</v>
      </c>
      <c r="C2812" s="23">
        <f>C2810+C2811</f>
        <v>16.16</v>
      </c>
      <c r="D2812" s="23">
        <f>D2810+D2811</f>
        <v>7.362857663568434</v>
      </c>
      <c r="E2812" s="1"/>
      <c r="F2812" s="1"/>
      <c r="G2812" s="1"/>
      <c r="H2812" s="1"/>
    </row>
    <row r="2813" spans="2:8" ht="12.75">
      <c r="B2813" s="6" t="s">
        <v>34</v>
      </c>
      <c r="C2813" s="23">
        <f>C2812/C2798/12*1000</f>
        <v>7.362857663568434</v>
      </c>
      <c r="D2813" s="8"/>
      <c r="E2813" s="1"/>
      <c r="F2813" s="1"/>
      <c r="G2813" s="1"/>
      <c r="H2813" s="1"/>
    </row>
    <row r="2814" spans="2:8" ht="12.75">
      <c r="B2814" s="1"/>
      <c r="C2814" s="1"/>
      <c r="D2814" s="1"/>
      <c r="E2814" s="1"/>
      <c r="F2814" s="1"/>
      <c r="G2814" s="1"/>
      <c r="H2814" s="1"/>
    </row>
    <row r="2815" spans="2:8" ht="12.75">
      <c r="B2815" s="1" t="s">
        <v>52</v>
      </c>
      <c r="C2815" s="1"/>
      <c r="D2815" s="1"/>
      <c r="E2815" s="1"/>
      <c r="F2815" s="1"/>
      <c r="G2815" s="1"/>
      <c r="H2815" s="1"/>
    </row>
    <row r="2816" spans="2:8" ht="12.75">
      <c r="B2816" s="1"/>
      <c r="C2816" s="1"/>
      <c r="D2816" s="1"/>
      <c r="E2816" s="1"/>
      <c r="F2816" s="1"/>
      <c r="G2816" s="1"/>
      <c r="H2816" s="1"/>
    </row>
    <row r="2817" spans="2:8" ht="12.75">
      <c r="B2817" s="2" t="s">
        <v>0</v>
      </c>
      <c r="C2817" s="2"/>
      <c r="D2817" s="2"/>
      <c r="E2817" s="1"/>
      <c r="F2817" s="1"/>
      <c r="G2817" s="1"/>
      <c r="H2817" s="1"/>
    </row>
    <row r="2818" spans="2:8" ht="12.75">
      <c r="B2818" s="2" t="s">
        <v>65</v>
      </c>
      <c r="C2818" s="2"/>
      <c r="D2818" s="2"/>
      <c r="E2818" s="1"/>
      <c r="F2818" s="1"/>
      <c r="G2818" s="1"/>
      <c r="H2818" s="1"/>
    </row>
    <row r="2819" spans="2:8" ht="12.75">
      <c r="B2819" s="2" t="s">
        <v>173</v>
      </c>
      <c r="C2819" s="2"/>
      <c r="D2819" s="2"/>
      <c r="E2819" s="1"/>
      <c r="F2819" s="1"/>
      <c r="G2819" s="1"/>
      <c r="H2819" s="1"/>
    </row>
    <row r="2820" spans="2:8" ht="12.75">
      <c r="B2820" s="3"/>
      <c r="C2820" s="3"/>
      <c r="D2820" s="1"/>
      <c r="E2820" s="1"/>
      <c r="F2820" s="1"/>
      <c r="G2820" s="1"/>
      <c r="H2820" s="1"/>
    </row>
    <row r="2821" spans="2:8" ht="12.75">
      <c r="B2821" s="5" t="s">
        <v>4</v>
      </c>
      <c r="C2821" s="31" t="s">
        <v>40</v>
      </c>
      <c r="D2821" s="6" t="s">
        <v>41</v>
      </c>
      <c r="E2821" s="1"/>
      <c r="F2821" s="1"/>
      <c r="G2821" s="1"/>
      <c r="H2821" s="1"/>
    </row>
    <row r="2822" spans="2:8" ht="12.75">
      <c r="B2822" s="6"/>
      <c r="C2822" s="6"/>
      <c r="D2822" s="7"/>
      <c r="E2822" s="1"/>
      <c r="F2822" s="1"/>
      <c r="G2822" s="1"/>
      <c r="H2822" s="1"/>
    </row>
    <row r="2823" spans="2:8" ht="12.75">
      <c r="B2823" s="10" t="s">
        <v>42</v>
      </c>
      <c r="C2823" s="8">
        <v>485.15</v>
      </c>
      <c r="D2823" s="8"/>
      <c r="E2823" s="1"/>
      <c r="F2823" s="1"/>
      <c r="G2823" s="1"/>
      <c r="H2823" s="1"/>
    </row>
    <row r="2824" spans="2:8" ht="12.75">
      <c r="B2824" s="11" t="s">
        <v>13</v>
      </c>
      <c r="C2824" s="32">
        <v>5.78</v>
      </c>
      <c r="D2824" s="14">
        <f>C2824/485.15/12*1000</f>
        <v>0.9928200900065274</v>
      </c>
      <c r="E2824" s="1"/>
      <c r="F2824" s="1"/>
      <c r="G2824" s="1"/>
      <c r="H2824" s="1"/>
    </row>
    <row r="2825" spans="2:8" ht="12.75">
      <c r="B2825" s="15" t="s">
        <v>14</v>
      </c>
      <c r="C2825" s="9">
        <f>SUM(C2826:C2828)</f>
        <v>9.5</v>
      </c>
      <c r="D2825" s="9">
        <f>SUM(D2826:D2828)</f>
        <v>1.6317977257892748</v>
      </c>
      <c r="E2825" s="1"/>
      <c r="F2825" s="1"/>
      <c r="G2825" s="1"/>
      <c r="H2825" s="1"/>
    </row>
    <row r="2826" spans="2:8" ht="12.75">
      <c r="B2826" s="6" t="s">
        <v>43</v>
      </c>
      <c r="C2826" s="8">
        <v>3.78</v>
      </c>
      <c r="D2826" s="8">
        <f>C2826/485.15/12*1000</f>
        <v>0.6492837266824694</v>
      </c>
      <c r="E2826" s="1"/>
      <c r="F2826" s="1"/>
      <c r="G2826" s="1"/>
      <c r="H2826" s="1"/>
    </row>
    <row r="2827" spans="2:8" ht="12.75">
      <c r="B2827" s="17" t="s">
        <v>44</v>
      </c>
      <c r="C2827" s="8">
        <v>4.29</v>
      </c>
      <c r="D2827" s="8">
        <f>C2827/485.15/12*1000</f>
        <v>0.7368854993301042</v>
      </c>
      <c r="E2827" s="1"/>
      <c r="F2827" s="1"/>
      <c r="G2827" s="1"/>
      <c r="H2827" s="1"/>
    </row>
    <row r="2828" spans="2:8" ht="12.75">
      <c r="B2828" s="6" t="s">
        <v>16</v>
      </c>
      <c r="C2828" s="8">
        <v>1.43</v>
      </c>
      <c r="D2828" s="8">
        <f>C2828/485.15/12*1000</f>
        <v>0.24562849977670137</v>
      </c>
      <c r="E2828" s="1"/>
      <c r="F2828" s="1"/>
      <c r="G2828" s="1"/>
      <c r="H2828" s="1"/>
    </row>
    <row r="2829" spans="2:8" ht="12.75">
      <c r="B2829" s="10" t="s">
        <v>19</v>
      </c>
      <c r="C2829" s="22">
        <f>SUM(C2830:C2832)</f>
        <v>15.770000000000001</v>
      </c>
      <c r="D2829" s="22">
        <f>SUM(D2830:D2832)</f>
        <v>2.7087842248101968</v>
      </c>
      <c r="E2829" s="1"/>
      <c r="F2829" s="1"/>
      <c r="G2829" s="1"/>
      <c r="H2829" s="1"/>
    </row>
    <row r="2830" spans="2:8" ht="12.75">
      <c r="B2830" s="6" t="s">
        <v>45</v>
      </c>
      <c r="C2830" s="8">
        <f>10.24+2.07+1.04</f>
        <v>13.350000000000001</v>
      </c>
      <c r="D2830" s="8">
        <f>C2830/485.15/12*1000</f>
        <v>2.2931052251880866</v>
      </c>
      <c r="E2830" s="1"/>
      <c r="F2830" s="1"/>
      <c r="G2830" s="1"/>
      <c r="H2830" s="1"/>
    </row>
    <row r="2831" spans="2:8" ht="12.75">
      <c r="B2831" s="8" t="s">
        <v>48</v>
      </c>
      <c r="C2831" s="8">
        <v>2.12</v>
      </c>
      <c r="D2831" s="8">
        <f>C2831/485.15/12*1000</f>
        <v>0.36414854512350137</v>
      </c>
      <c r="E2831" s="1"/>
      <c r="F2831" s="1"/>
      <c r="G2831" s="1"/>
      <c r="H2831" s="1"/>
    </row>
    <row r="2832" spans="2:8" ht="12.75">
      <c r="B2832" s="8" t="s">
        <v>50</v>
      </c>
      <c r="C2832" s="8">
        <v>0.30000000000000004</v>
      </c>
      <c r="D2832" s="8">
        <f>C2832/485.15/12*1000</f>
        <v>0.051530454498608685</v>
      </c>
      <c r="E2832" s="1"/>
      <c r="F2832" s="1"/>
      <c r="G2832" s="1"/>
      <c r="H2832" s="1"/>
    </row>
    <row r="2833" spans="2:8" ht="12.75">
      <c r="B2833" s="14" t="s">
        <v>27</v>
      </c>
      <c r="C2833" s="14">
        <f>7.24+0.66</f>
        <v>7.9</v>
      </c>
      <c r="D2833" s="14">
        <f>C2833/485.15/12*1000</f>
        <v>1.3569686351300285</v>
      </c>
      <c r="E2833" s="1"/>
      <c r="F2833" s="1"/>
      <c r="G2833" s="1"/>
      <c r="H2833" s="1"/>
    </row>
    <row r="2834" spans="2:8" ht="12.75">
      <c r="B2834" s="14"/>
      <c r="C2834" s="14"/>
      <c r="D2834" s="8"/>
      <c r="E2834" s="1"/>
      <c r="F2834" s="1"/>
      <c r="G2834" s="1"/>
      <c r="H2834" s="1"/>
    </row>
    <row r="2835" spans="2:8" ht="12.75">
      <c r="B2835" s="14" t="s">
        <v>29</v>
      </c>
      <c r="C2835" s="23">
        <f>C2824+C2825+C2829+C2833+C2834</f>
        <v>38.95</v>
      </c>
      <c r="D2835" s="23">
        <f>D2824+D2825+D2829+D2833+D2834</f>
        <v>6.690370675736028</v>
      </c>
      <c r="E2835" s="1"/>
      <c r="F2835" s="1"/>
      <c r="G2835" s="1"/>
      <c r="H2835" s="1"/>
    </row>
    <row r="2836" spans="2:8" ht="12.75">
      <c r="B2836" s="8" t="s">
        <v>51</v>
      </c>
      <c r="C2836" s="8">
        <v>3.89</v>
      </c>
      <c r="D2836" s="8">
        <f>C2836/485.15/12*1000</f>
        <v>0.6681782266652926</v>
      </c>
      <c r="E2836" s="1"/>
      <c r="F2836" s="1"/>
      <c r="G2836" s="1"/>
      <c r="H2836" s="1"/>
    </row>
    <row r="2837" spans="2:8" ht="12.75">
      <c r="B2837" s="14" t="s">
        <v>31</v>
      </c>
      <c r="C2837" s="23">
        <f>C2835+C2836</f>
        <v>42.84</v>
      </c>
      <c r="D2837" s="23">
        <f>D2835+D2836</f>
        <v>7.358548902401321</v>
      </c>
      <c r="E2837" s="1"/>
      <c r="F2837" s="1"/>
      <c r="G2837" s="1"/>
      <c r="H2837" s="1"/>
    </row>
    <row r="2838" spans="2:8" ht="12.75">
      <c r="B2838" s="6" t="s">
        <v>34</v>
      </c>
      <c r="C2838" s="23">
        <f>C2837/C2823/12*1000</f>
        <v>7.35854890240132</v>
      </c>
      <c r="D2838" s="8"/>
      <c r="E2838" s="1"/>
      <c r="F2838" s="1"/>
      <c r="G2838" s="1"/>
      <c r="H2838" s="1"/>
    </row>
    <row r="2839" spans="2:8" ht="12.75">
      <c r="B2839" s="1"/>
      <c r="C2839" s="1"/>
      <c r="D2839" s="1"/>
      <c r="E2839" s="1"/>
      <c r="F2839" s="1"/>
      <c r="G2839" s="1"/>
      <c r="H2839" s="1"/>
    </row>
    <row r="2840" spans="2:8" ht="12.75">
      <c r="B2840" s="1" t="s">
        <v>52</v>
      </c>
      <c r="C2840" s="1"/>
      <c r="D2840" s="1"/>
      <c r="E2840" s="1"/>
      <c r="F2840" s="1"/>
      <c r="G2840" s="1"/>
      <c r="H2840" s="1"/>
    </row>
    <row r="2841" spans="2:8" ht="12.75">
      <c r="B2841" s="1"/>
      <c r="C2841" s="1"/>
      <c r="D2841" s="1"/>
      <c r="E2841" s="1"/>
      <c r="F2841" s="1"/>
      <c r="G2841" s="1"/>
      <c r="H2841" s="1"/>
    </row>
    <row r="2842" spans="2:8" ht="12.75">
      <c r="B2842" s="2" t="s">
        <v>0</v>
      </c>
      <c r="C2842" s="2"/>
      <c r="D2842" s="2"/>
      <c r="E2842" s="1"/>
      <c r="F2842" s="1"/>
      <c r="G2842" s="1"/>
      <c r="H2842" s="1"/>
    </row>
    <row r="2843" spans="2:8" ht="12.75">
      <c r="B2843" s="2" t="s">
        <v>65</v>
      </c>
      <c r="C2843" s="2"/>
      <c r="D2843" s="2"/>
      <c r="E2843" s="1"/>
      <c r="F2843" s="1"/>
      <c r="G2843" s="1"/>
      <c r="H2843" s="1"/>
    </row>
    <row r="2844" spans="2:8" ht="12.75">
      <c r="B2844" s="2" t="s">
        <v>174</v>
      </c>
      <c r="C2844" s="2"/>
      <c r="D2844" s="2"/>
      <c r="E2844" s="1"/>
      <c r="F2844" s="1"/>
      <c r="G2844" s="1"/>
      <c r="H2844" s="1"/>
    </row>
    <row r="2845" spans="2:8" ht="12.75">
      <c r="B2845" s="3"/>
      <c r="C2845" s="3"/>
      <c r="D2845" s="1"/>
      <c r="E2845" s="1"/>
      <c r="F2845" s="1"/>
      <c r="G2845" s="1"/>
      <c r="H2845" s="1"/>
    </row>
    <row r="2846" spans="2:8" ht="12.75">
      <c r="B2846" s="5" t="s">
        <v>4</v>
      </c>
      <c r="C2846" s="31" t="s">
        <v>40</v>
      </c>
      <c r="D2846" s="6" t="s">
        <v>41</v>
      </c>
      <c r="E2846" s="1"/>
      <c r="F2846" s="1"/>
      <c r="G2846" s="1"/>
      <c r="H2846" s="1"/>
    </row>
    <row r="2847" spans="2:8" ht="12.75">
      <c r="B2847" s="6"/>
      <c r="C2847" s="6"/>
      <c r="D2847" s="7"/>
      <c r="E2847" s="1"/>
      <c r="F2847" s="1"/>
      <c r="G2847" s="1"/>
      <c r="H2847" s="1"/>
    </row>
    <row r="2848" spans="2:8" ht="12.75">
      <c r="B2848" s="10" t="s">
        <v>42</v>
      </c>
      <c r="C2848" s="8">
        <v>71</v>
      </c>
      <c r="D2848" s="8"/>
      <c r="E2848" s="1"/>
      <c r="F2848" s="1"/>
      <c r="G2848" s="1"/>
      <c r="H2848" s="1"/>
    </row>
    <row r="2849" spans="2:8" ht="12.75">
      <c r="B2849" s="11" t="s">
        <v>13</v>
      </c>
      <c r="C2849" s="32">
        <v>0.85</v>
      </c>
      <c r="D2849" s="14">
        <f>C2849/71/12*1000</f>
        <v>0.9976525821596245</v>
      </c>
      <c r="E2849" s="1"/>
      <c r="F2849" s="1"/>
      <c r="G2849" s="1"/>
      <c r="H2849" s="1"/>
    </row>
    <row r="2850" spans="2:8" ht="12.75">
      <c r="B2850" s="15" t="s">
        <v>14</v>
      </c>
      <c r="C2850" s="9">
        <f>SUM(C2851:C2853)</f>
        <v>3.21</v>
      </c>
      <c r="D2850" s="9">
        <f>SUM(D2851:D2853)</f>
        <v>3.7676056338028174</v>
      </c>
      <c r="E2850" s="1"/>
      <c r="F2850" s="1"/>
      <c r="G2850" s="1"/>
      <c r="H2850" s="1"/>
    </row>
    <row r="2851" spans="2:8" ht="12.75">
      <c r="B2851" s="6" t="s">
        <v>43</v>
      </c>
      <c r="C2851" s="8">
        <v>0.55</v>
      </c>
      <c r="D2851" s="8">
        <f>C2851/71/12*1000</f>
        <v>0.6455399061032865</v>
      </c>
      <c r="E2851" s="1"/>
      <c r="F2851" s="1"/>
      <c r="G2851" s="1"/>
      <c r="H2851" s="1"/>
    </row>
    <row r="2852" spans="2:8" ht="12.75">
      <c r="B2852" s="17" t="s">
        <v>44</v>
      </c>
      <c r="C2852" s="8">
        <v>0.63</v>
      </c>
      <c r="D2852" s="8">
        <f>C2852/71/12*1000</f>
        <v>0.7394366197183098</v>
      </c>
      <c r="E2852" s="1"/>
      <c r="F2852" s="1"/>
      <c r="G2852" s="1"/>
      <c r="H2852" s="1"/>
    </row>
    <row r="2853" spans="2:8" ht="12.75">
      <c r="B2853" s="6" t="s">
        <v>16</v>
      </c>
      <c r="C2853" s="8">
        <f>1.91+0.12</f>
        <v>2.0300000000000002</v>
      </c>
      <c r="D2853" s="8">
        <f>C2853/71/12*1000</f>
        <v>2.382629107981221</v>
      </c>
      <c r="E2853" s="1"/>
      <c r="F2853" s="1"/>
      <c r="G2853" s="1"/>
      <c r="H2853" s="1"/>
    </row>
    <row r="2854" spans="2:8" ht="12.75">
      <c r="B2854" s="10" t="s">
        <v>19</v>
      </c>
      <c r="C2854" s="22">
        <f>SUM(C2855:C2857)</f>
        <v>0.5</v>
      </c>
      <c r="D2854" s="22">
        <f>SUM(D2855:D2857)</f>
        <v>0.5868544600938967</v>
      </c>
      <c r="E2854" s="1"/>
      <c r="F2854" s="1"/>
      <c r="G2854" s="1"/>
      <c r="H2854" s="1"/>
    </row>
    <row r="2855" spans="2:8" ht="12.75">
      <c r="B2855" s="6" t="s">
        <v>45</v>
      </c>
      <c r="C2855" s="8"/>
      <c r="D2855" s="8">
        <f>C2855/71/12*1000</f>
        <v>0</v>
      </c>
      <c r="E2855" s="1"/>
      <c r="F2855" s="1"/>
      <c r="G2855" s="1"/>
      <c r="H2855" s="1"/>
    </row>
    <row r="2856" spans="2:8" ht="12.75">
      <c r="B2856" s="8" t="s">
        <v>48</v>
      </c>
      <c r="C2856" s="8">
        <v>0.4</v>
      </c>
      <c r="D2856" s="8">
        <f>C2856/71/12*1000</f>
        <v>0.46948356807511743</v>
      </c>
      <c r="E2856" s="1"/>
      <c r="F2856" s="1"/>
      <c r="G2856" s="1"/>
      <c r="H2856" s="1"/>
    </row>
    <row r="2857" spans="2:8" ht="12.75">
      <c r="B2857" s="8" t="s">
        <v>50</v>
      </c>
      <c r="C2857" s="8">
        <v>0.1</v>
      </c>
      <c r="D2857" s="8">
        <f>C2857/71/12*1000</f>
        <v>0.11737089201877936</v>
      </c>
      <c r="E2857" s="1"/>
      <c r="F2857" s="1"/>
      <c r="G2857" s="1"/>
      <c r="H2857" s="1"/>
    </row>
    <row r="2858" spans="2:8" ht="12.75">
      <c r="B2858" s="14" t="s">
        <v>27</v>
      </c>
      <c r="C2858" s="14">
        <f>1.04+0.1</f>
        <v>1.1400000000000001</v>
      </c>
      <c r="D2858" s="14">
        <f>C2858/71/12*1000</f>
        <v>1.3380281690140847</v>
      </c>
      <c r="E2858" s="1"/>
      <c r="F2858" s="1"/>
      <c r="G2858" s="1"/>
      <c r="H2858" s="1"/>
    </row>
    <row r="2859" spans="2:8" ht="12.75">
      <c r="B2859" s="14"/>
      <c r="C2859" s="14"/>
      <c r="D2859" s="8"/>
      <c r="E2859" s="1"/>
      <c r="F2859" s="1"/>
      <c r="G2859" s="1"/>
      <c r="H2859" s="1"/>
    </row>
    <row r="2860" spans="2:8" ht="12.75">
      <c r="B2860" s="14" t="s">
        <v>29</v>
      </c>
      <c r="C2860" s="23">
        <f>C2849+C2850+C2854+C2858+C2859</f>
        <v>5.699999999999999</v>
      </c>
      <c r="D2860" s="23">
        <f>D2849+D2850+D2854+D2858+D2859</f>
        <v>6.690140845070424</v>
      </c>
      <c r="E2860" s="1"/>
      <c r="F2860" s="1"/>
      <c r="G2860" s="1"/>
      <c r="H2860" s="1"/>
    </row>
    <row r="2861" spans="2:8" ht="12.75">
      <c r="B2861" s="8" t="s">
        <v>51</v>
      </c>
      <c r="C2861" s="8">
        <v>0.5700000000000001</v>
      </c>
      <c r="D2861" s="8">
        <f>C2861/71/12*1000</f>
        <v>0.6690140845070424</v>
      </c>
      <c r="E2861" s="1"/>
      <c r="F2861" s="1"/>
      <c r="G2861" s="1"/>
      <c r="H2861" s="1"/>
    </row>
    <row r="2862" spans="2:8" ht="12.75">
      <c r="B2862" s="14" t="s">
        <v>31</v>
      </c>
      <c r="C2862" s="23">
        <f>C2860+C2861</f>
        <v>6.27</v>
      </c>
      <c r="D2862" s="23">
        <f>D2860+D2861</f>
        <v>7.359154929577466</v>
      </c>
      <c r="E2862" s="1"/>
      <c r="F2862" s="1"/>
      <c r="G2862" s="1"/>
      <c r="H2862" s="1"/>
    </row>
    <row r="2863" spans="2:8" ht="12.75">
      <c r="B2863" s="6" t="s">
        <v>34</v>
      </c>
      <c r="C2863" s="23">
        <f>C2862/C2848/12*1000</f>
        <v>7.359154929577464</v>
      </c>
      <c r="D2863" s="8"/>
      <c r="E2863" s="1"/>
      <c r="F2863" s="1"/>
      <c r="G2863" s="1"/>
      <c r="H2863" s="1"/>
    </row>
    <row r="2864" spans="2:8" ht="12.75">
      <c r="B2864" s="1"/>
      <c r="C2864" s="1"/>
      <c r="D2864" s="1"/>
      <c r="E2864" s="1"/>
      <c r="F2864" s="1"/>
      <c r="G2864" s="1"/>
      <c r="H2864" s="1"/>
    </row>
    <row r="2865" spans="2:8" ht="12.75">
      <c r="B2865" s="1" t="s">
        <v>52</v>
      </c>
      <c r="C2865" s="1"/>
      <c r="D2865" s="1"/>
      <c r="E2865" s="1"/>
      <c r="F2865" s="1"/>
      <c r="G2865" s="1"/>
      <c r="H2865" s="1"/>
    </row>
    <row r="2866" spans="2:8" ht="12.75">
      <c r="B2866" s="1"/>
      <c r="C2866" s="1"/>
      <c r="D2866" s="1"/>
      <c r="E2866" s="1"/>
      <c r="F2866" s="1"/>
      <c r="G2866" s="1"/>
      <c r="H2866" s="1"/>
    </row>
    <row r="2867" spans="2:8" ht="12.75">
      <c r="B2867" s="2" t="s">
        <v>0</v>
      </c>
      <c r="C2867" s="2"/>
      <c r="D2867" s="2"/>
      <c r="E2867" s="1"/>
      <c r="F2867" s="1"/>
      <c r="G2867" s="1"/>
      <c r="H2867" s="1"/>
    </row>
    <row r="2868" spans="2:8" ht="12.75">
      <c r="B2868" s="2" t="s">
        <v>65</v>
      </c>
      <c r="C2868" s="2"/>
      <c r="D2868" s="2"/>
      <c r="E2868" s="1"/>
      <c r="F2868" s="1"/>
      <c r="G2868" s="1"/>
      <c r="H2868" s="1"/>
    </row>
    <row r="2869" spans="2:8" ht="12.75">
      <c r="B2869" s="2" t="s">
        <v>175</v>
      </c>
      <c r="C2869" s="2"/>
      <c r="D2869" s="2"/>
      <c r="E2869" s="1"/>
      <c r="F2869" s="1"/>
      <c r="G2869" s="1"/>
      <c r="H2869" s="1"/>
    </row>
    <row r="2870" spans="2:8" ht="12.75">
      <c r="B2870" s="3"/>
      <c r="C2870" s="3"/>
      <c r="D2870" s="1"/>
      <c r="E2870" s="1"/>
      <c r="F2870" s="1"/>
      <c r="G2870" s="1"/>
      <c r="H2870" s="1"/>
    </row>
    <row r="2871" spans="2:8" ht="12.75">
      <c r="B2871" s="5" t="s">
        <v>4</v>
      </c>
      <c r="C2871" s="31" t="s">
        <v>40</v>
      </c>
      <c r="D2871" s="6" t="s">
        <v>41</v>
      </c>
      <c r="E2871" s="1"/>
      <c r="F2871" s="1"/>
      <c r="G2871" s="1"/>
      <c r="H2871" s="1"/>
    </row>
    <row r="2872" spans="2:8" ht="12.75">
      <c r="B2872" s="6"/>
      <c r="C2872" s="6"/>
      <c r="D2872" s="7"/>
      <c r="E2872" s="1"/>
      <c r="F2872" s="1"/>
      <c r="G2872" s="1"/>
      <c r="H2872" s="1"/>
    </row>
    <row r="2873" spans="2:8" ht="12.75">
      <c r="B2873" s="10" t="s">
        <v>42</v>
      </c>
      <c r="C2873" s="8">
        <v>267.9</v>
      </c>
      <c r="D2873" s="8"/>
      <c r="E2873" s="1"/>
      <c r="F2873" s="1"/>
      <c r="G2873" s="1"/>
      <c r="H2873" s="1"/>
    </row>
    <row r="2874" spans="2:8" ht="12.75">
      <c r="B2874" s="11" t="s">
        <v>13</v>
      </c>
      <c r="C2874" s="32">
        <v>5.07</v>
      </c>
      <c r="D2874" s="14">
        <f>C2874/267.9/12*1000</f>
        <v>1.5770810003732738</v>
      </c>
      <c r="E2874" s="1"/>
      <c r="F2874" s="1"/>
      <c r="G2874" s="1"/>
      <c r="H2874" s="1"/>
    </row>
    <row r="2875" spans="2:8" ht="12.75">
      <c r="B2875" s="15" t="s">
        <v>14</v>
      </c>
      <c r="C2875" s="9">
        <f>SUM(C2876:C2878)</f>
        <v>10.14</v>
      </c>
      <c r="D2875" s="9">
        <f>SUM(D2876:D2878)</f>
        <v>3.154162000746547</v>
      </c>
      <c r="E2875" s="1"/>
      <c r="F2875" s="1"/>
      <c r="G2875" s="1"/>
      <c r="H2875" s="1"/>
    </row>
    <row r="2876" spans="2:8" ht="12.75">
      <c r="B2876" s="6" t="s">
        <v>43</v>
      </c>
      <c r="C2876" s="8">
        <v>2.09</v>
      </c>
      <c r="D2876" s="8">
        <f>C2876/267.9/12*1000</f>
        <v>0.6501182033096926</v>
      </c>
      <c r="E2876" s="1"/>
      <c r="F2876" s="1"/>
      <c r="G2876" s="1"/>
      <c r="H2876" s="1"/>
    </row>
    <row r="2877" spans="2:8" ht="12.75">
      <c r="B2877" s="17" t="s">
        <v>44</v>
      </c>
      <c r="C2877" s="8">
        <v>2.37</v>
      </c>
      <c r="D2877" s="8">
        <f>C2877/267.9/12*1000</f>
        <v>0.7372153788727138</v>
      </c>
      <c r="E2877" s="1"/>
      <c r="F2877" s="1"/>
      <c r="G2877" s="1"/>
      <c r="H2877" s="1"/>
    </row>
    <row r="2878" spans="2:8" ht="12.75">
      <c r="B2878" s="6" t="s">
        <v>16</v>
      </c>
      <c r="C2878" s="8">
        <v>5.68</v>
      </c>
      <c r="D2878" s="8">
        <f>C2878/267.9/12*1000</f>
        <v>1.7668284185641407</v>
      </c>
      <c r="E2878" s="1"/>
      <c r="F2878" s="1"/>
      <c r="G2878" s="1"/>
      <c r="H2878" s="1"/>
    </row>
    <row r="2879" spans="2:8" ht="12.75">
      <c r="B2879" s="10" t="s">
        <v>19</v>
      </c>
      <c r="C2879" s="22">
        <f>SUM(C2880:C2882)</f>
        <v>14.36</v>
      </c>
      <c r="D2879" s="22">
        <f>SUM(D2880:D2882)</f>
        <v>4.4668408610177925</v>
      </c>
      <c r="E2879" s="1"/>
      <c r="F2879" s="1"/>
      <c r="G2879" s="1"/>
      <c r="H2879" s="1"/>
    </row>
    <row r="2880" spans="2:8" ht="12.75">
      <c r="B2880" s="6" t="s">
        <v>45</v>
      </c>
      <c r="C2880" s="8">
        <f>9.98+2.02+1.01</f>
        <v>13.01</v>
      </c>
      <c r="D2880" s="8">
        <f>C2880/267.9/12*1000</f>
        <v>4.046908050267513</v>
      </c>
      <c r="E2880" s="1"/>
      <c r="F2880" s="1"/>
      <c r="G2880" s="1"/>
      <c r="H2880" s="1"/>
    </row>
    <row r="2881" spans="2:8" ht="12.75">
      <c r="B2881" s="8" t="s">
        <v>48</v>
      </c>
      <c r="C2881" s="8">
        <v>1.19</v>
      </c>
      <c r="D2881" s="8">
        <f>C2881/267.9/12*1000</f>
        <v>0.3701629961428393</v>
      </c>
      <c r="E2881" s="1"/>
      <c r="F2881" s="1"/>
      <c r="G2881" s="1"/>
      <c r="H2881" s="1"/>
    </row>
    <row r="2882" spans="2:8" ht="12.75">
      <c r="B2882" s="8" t="s">
        <v>50</v>
      </c>
      <c r="C2882" s="8">
        <v>0.16</v>
      </c>
      <c r="D2882" s="8">
        <f>C2882/267.9/12*1000</f>
        <v>0.04976981460744059</v>
      </c>
      <c r="E2882" s="1"/>
      <c r="F2882" s="1"/>
      <c r="G2882" s="1"/>
      <c r="H2882" s="1"/>
    </row>
    <row r="2883" spans="2:8" ht="12.75">
      <c r="B2883" s="14" t="s">
        <v>27</v>
      </c>
      <c r="C2883" s="14">
        <f>4+0.58</f>
        <v>4.58</v>
      </c>
      <c r="D2883" s="14">
        <f>C2883/267.9/12*1000</f>
        <v>1.424660943137987</v>
      </c>
      <c r="E2883" s="1"/>
      <c r="F2883" s="1"/>
      <c r="G2883" s="1"/>
      <c r="H2883" s="1"/>
    </row>
    <row r="2884" spans="2:8" ht="12.75">
      <c r="B2884" s="14"/>
      <c r="C2884" s="14"/>
      <c r="D2884" s="8"/>
      <c r="E2884" s="1"/>
      <c r="F2884" s="1"/>
      <c r="G2884" s="1"/>
      <c r="H2884" s="1"/>
    </row>
    <row r="2885" spans="2:8" ht="12.75">
      <c r="B2885" s="14" t="s">
        <v>29</v>
      </c>
      <c r="C2885" s="23">
        <f>C2874+C2875+C2879+C2883+C2884</f>
        <v>34.15</v>
      </c>
      <c r="D2885" s="23">
        <f>D2874+D2875+D2879+D2883+D2884</f>
        <v>10.6227448052756</v>
      </c>
      <c r="E2885" s="1"/>
      <c r="F2885" s="1"/>
      <c r="G2885" s="1"/>
      <c r="H2885" s="1"/>
    </row>
    <row r="2886" spans="2:8" ht="12.75">
      <c r="B2886" s="8" t="s">
        <v>51</v>
      </c>
      <c r="C2886" s="8">
        <v>3.41</v>
      </c>
      <c r="D2886" s="8">
        <f>C2886/267.9/12*1000</f>
        <v>1.0607191738210777</v>
      </c>
      <c r="E2886" s="1"/>
      <c r="F2886" s="1"/>
      <c r="G2886" s="1"/>
      <c r="H2886" s="1"/>
    </row>
    <row r="2887" spans="2:8" ht="12.75">
      <c r="B2887" s="14" t="s">
        <v>31</v>
      </c>
      <c r="C2887" s="23">
        <f>C2885+C2886</f>
        <v>37.56</v>
      </c>
      <c r="D2887" s="23">
        <f>D2885+D2886</f>
        <v>11.683463979096677</v>
      </c>
      <c r="E2887" s="1"/>
      <c r="F2887" s="1"/>
      <c r="G2887" s="1"/>
      <c r="H2887" s="1"/>
    </row>
    <row r="2888" spans="2:8" ht="12.75">
      <c r="B2888" s="6" t="s">
        <v>34</v>
      </c>
      <c r="C2888" s="23">
        <f>C2887/C2873/12*1000</f>
        <v>11.683463979096679</v>
      </c>
      <c r="D2888" s="8"/>
      <c r="E2888" s="1"/>
      <c r="F2888" s="1"/>
      <c r="G2888" s="1"/>
      <c r="H2888" s="1"/>
    </row>
    <row r="2889" spans="2:8" ht="12.75">
      <c r="B2889" s="1"/>
      <c r="C2889" s="1"/>
      <c r="D2889" s="1"/>
      <c r="E2889" s="1"/>
      <c r="F2889" s="1"/>
      <c r="G2889" s="1"/>
      <c r="H2889" s="1"/>
    </row>
    <row r="2890" spans="2:8" ht="12.75">
      <c r="B2890" s="1" t="s">
        <v>52</v>
      </c>
      <c r="C2890" s="1"/>
      <c r="D2890" s="1"/>
      <c r="E2890" s="1"/>
      <c r="F2890" s="1"/>
      <c r="G2890" s="1"/>
      <c r="H2890" s="1"/>
    </row>
    <row r="2891" spans="2:8" ht="12.75">
      <c r="B2891" s="1"/>
      <c r="C2891" s="1"/>
      <c r="D2891" s="1"/>
      <c r="E2891" s="1"/>
      <c r="F2891" s="1"/>
      <c r="G2891" s="1"/>
      <c r="H2891" s="1"/>
    </row>
    <row r="2892" spans="2:8" ht="12.75">
      <c r="B2892" s="2" t="s">
        <v>0</v>
      </c>
      <c r="C2892" s="2"/>
      <c r="D2892" s="2"/>
      <c r="E2892" s="1"/>
      <c r="F2892" s="1"/>
      <c r="G2892" s="1"/>
      <c r="H2892" s="1"/>
    </row>
    <row r="2893" spans="2:8" ht="12.75">
      <c r="B2893" s="2" t="s">
        <v>65</v>
      </c>
      <c r="C2893" s="2"/>
      <c r="D2893" s="2"/>
      <c r="E2893" s="1"/>
      <c r="F2893" s="1"/>
      <c r="G2893" s="1"/>
      <c r="H2893" s="1"/>
    </row>
    <row r="2894" spans="2:8" ht="12.75">
      <c r="B2894" s="2" t="s">
        <v>176</v>
      </c>
      <c r="C2894" s="2"/>
      <c r="D2894" s="2"/>
      <c r="E2894" s="1"/>
      <c r="F2894" s="1"/>
      <c r="G2894" s="1"/>
      <c r="H2894" s="1"/>
    </row>
    <row r="2895" spans="2:8" ht="12.75">
      <c r="B2895" s="3"/>
      <c r="C2895" s="3"/>
      <c r="D2895" s="1"/>
      <c r="E2895" s="1"/>
      <c r="F2895" s="1"/>
      <c r="G2895" s="1"/>
      <c r="H2895" s="1"/>
    </row>
    <row r="2896" spans="2:8" ht="12.75">
      <c r="B2896" s="5" t="s">
        <v>4</v>
      </c>
      <c r="C2896" s="31" t="s">
        <v>40</v>
      </c>
      <c r="D2896" s="6" t="s">
        <v>41</v>
      </c>
      <c r="E2896" s="1"/>
      <c r="F2896" s="1"/>
      <c r="G2896" s="1"/>
      <c r="H2896" s="1"/>
    </row>
    <row r="2897" spans="2:8" ht="12.75">
      <c r="B2897" s="6"/>
      <c r="C2897" s="6"/>
      <c r="D2897" s="7"/>
      <c r="E2897" s="1"/>
      <c r="F2897" s="1"/>
      <c r="G2897" s="1"/>
      <c r="H2897" s="1"/>
    </row>
    <row r="2898" spans="2:8" ht="12.75">
      <c r="B2898" s="10" t="s">
        <v>42</v>
      </c>
      <c r="C2898" s="8">
        <v>333.9</v>
      </c>
      <c r="D2898" s="8"/>
      <c r="E2898" s="1"/>
      <c r="F2898" s="1"/>
      <c r="G2898" s="1"/>
      <c r="H2898" s="1"/>
    </row>
    <row r="2899" spans="2:8" ht="12.75">
      <c r="B2899" s="11" t="s">
        <v>13</v>
      </c>
      <c r="C2899" s="32">
        <v>3.98</v>
      </c>
      <c r="D2899" s="14">
        <f>C2899/333.9/12*1000</f>
        <v>0.9933113706698613</v>
      </c>
      <c r="E2899" s="1"/>
      <c r="F2899" s="1"/>
      <c r="G2899" s="1"/>
      <c r="H2899" s="1"/>
    </row>
    <row r="2900" spans="2:8" ht="12.75">
      <c r="B2900" s="15" t="s">
        <v>14</v>
      </c>
      <c r="C2900" s="9">
        <f>SUM(C2901:C2903)</f>
        <v>8.97</v>
      </c>
      <c r="D2900" s="9">
        <f>SUM(D2901:D2903)</f>
        <v>2.2386942198262956</v>
      </c>
      <c r="E2900" s="1"/>
      <c r="F2900" s="1"/>
      <c r="G2900" s="1"/>
      <c r="H2900" s="1"/>
    </row>
    <row r="2901" spans="2:8" ht="12.75">
      <c r="B2901" s="6" t="s">
        <v>43</v>
      </c>
      <c r="C2901" s="8">
        <v>2.6</v>
      </c>
      <c r="D2901" s="8">
        <f>C2901/333.9/12*1000</f>
        <v>0.6488968753119696</v>
      </c>
      <c r="E2901" s="1"/>
      <c r="F2901" s="1"/>
      <c r="G2901" s="1"/>
      <c r="H2901" s="1"/>
    </row>
    <row r="2902" spans="2:8" ht="12.75">
      <c r="B2902" s="17" t="s">
        <v>44</v>
      </c>
      <c r="C2902" s="8">
        <v>2.95</v>
      </c>
      <c r="D2902" s="8">
        <f>C2902/333.9/12*1000</f>
        <v>0.7362483777578118</v>
      </c>
      <c r="E2902" s="1"/>
      <c r="F2902" s="1"/>
      <c r="G2902" s="1"/>
      <c r="H2902" s="1"/>
    </row>
    <row r="2903" spans="2:8" ht="12.75">
      <c r="B2903" s="6" t="s">
        <v>16</v>
      </c>
      <c r="C2903" s="8">
        <f>2.9+0.52</f>
        <v>3.42</v>
      </c>
      <c r="D2903" s="8">
        <f>C2903/333.9/12*1000</f>
        <v>0.8535489667565139</v>
      </c>
      <c r="E2903" s="1"/>
      <c r="F2903" s="1"/>
      <c r="G2903" s="1"/>
      <c r="H2903" s="1"/>
    </row>
    <row r="2904" spans="2:8" ht="12.75">
      <c r="B2904" s="10" t="s">
        <v>19</v>
      </c>
      <c r="C2904" s="22">
        <f>SUM(C2905:C2908)</f>
        <v>8.41</v>
      </c>
      <c r="D2904" s="22">
        <f>SUM(D2905:D2908)</f>
        <v>2.098931815912948</v>
      </c>
      <c r="E2904" s="1"/>
      <c r="F2904" s="1"/>
      <c r="G2904" s="1"/>
      <c r="H2904" s="1"/>
    </row>
    <row r="2905" spans="2:8" ht="12.75">
      <c r="B2905" s="6" t="s">
        <v>45</v>
      </c>
      <c r="C2905" s="8"/>
      <c r="D2905" s="8">
        <f>C2905/333.9/12*1000</f>
        <v>0</v>
      </c>
      <c r="E2905" s="1"/>
      <c r="F2905" s="1"/>
      <c r="G2905" s="1"/>
      <c r="H2905" s="1"/>
    </row>
    <row r="2906" spans="2:8" ht="12.75">
      <c r="B2906" s="8" t="s">
        <v>48</v>
      </c>
      <c r="C2906" s="8">
        <v>1.99</v>
      </c>
      <c r="D2906" s="8">
        <f>C2906/333.9/12*1000</f>
        <v>0.49665568533493065</v>
      </c>
      <c r="E2906" s="1"/>
      <c r="F2906" s="1"/>
      <c r="G2906" s="1"/>
      <c r="H2906" s="1"/>
    </row>
    <row r="2907" spans="2:8" ht="12.75">
      <c r="B2907" s="8" t="s">
        <v>67</v>
      </c>
      <c r="C2907" s="8">
        <v>5.89</v>
      </c>
      <c r="D2907" s="8">
        <f>C2907/333.9/12*1000</f>
        <v>1.470000998302885</v>
      </c>
      <c r="E2907" s="1"/>
      <c r="F2907" s="1"/>
      <c r="G2907" s="1"/>
      <c r="H2907" s="1"/>
    </row>
    <row r="2908" spans="2:8" ht="12.75">
      <c r="B2908" s="8" t="s">
        <v>50</v>
      </c>
      <c r="C2908" s="8">
        <v>0.53</v>
      </c>
      <c r="D2908" s="8">
        <f>C2908/333.9/12*1000</f>
        <v>0.1322751322751323</v>
      </c>
      <c r="E2908" s="1"/>
      <c r="F2908" s="1"/>
      <c r="G2908" s="1"/>
      <c r="H2908" s="1"/>
    </row>
    <row r="2909" spans="2:8" ht="12.75">
      <c r="B2909" s="14" t="s">
        <v>27</v>
      </c>
      <c r="C2909" s="14">
        <f>4.99+0.45</f>
        <v>5.44</v>
      </c>
      <c r="D2909" s="14">
        <f>C2909/333.9/12*1000</f>
        <v>1.3576919237296599</v>
      </c>
      <c r="E2909" s="1"/>
      <c r="F2909" s="1"/>
      <c r="G2909" s="1"/>
      <c r="H2909" s="1"/>
    </row>
    <row r="2910" spans="2:8" ht="12.75">
      <c r="B2910" s="14"/>
      <c r="C2910" s="14"/>
      <c r="D2910" s="8"/>
      <c r="E2910" s="1"/>
      <c r="F2910" s="1"/>
      <c r="G2910" s="1"/>
      <c r="H2910" s="1"/>
    </row>
    <row r="2911" spans="2:8" ht="12.75">
      <c r="B2911" s="14" t="s">
        <v>29</v>
      </c>
      <c r="C2911" s="23">
        <f>C2899+C2900+C2904+C2909+C2910</f>
        <v>26.8</v>
      </c>
      <c r="D2911" s="23">
        <f>D2899+D2900+D2904+D2909+D2910</f>
        <v>6.688629330138765</v>
      </c>
      <c r="E2911" s="1"/>
      <c r="F2911" s="1"/>
      <c r="G2911" s="1"/>
      <c r="H2911" s="1"/>
    </row>
    <row r="2912" spans="2:8" ht="12.75">
      <c r="B2912" s="8" t="s">
        <v>51</v>
      </c>
      <c r="C2912" s="8">
        <v>2.68</v>
      </c>
      <c r="D2912" s="8">
        <f>C2912/333.9/12*1000</f>
        <v>0.6688629330138764</v>
      </c>
      <c r="E2912" s="1"/>
      <c r="F2912" s="1"/>
      <c r="G2912" s="1"/>
      <c r="H2912" s="1"/>
    </row>
    <row r="2913" spans="2:8" ht="12.75">
      <c r="B2913" s="14" t="s">
        <v>31</v>
      </c>
      <c r="C2913" s="23">
        <f>C2911+C2912</f>
        <v>29.48</v>
      </c>
      <c r="D2913" s="23">
        <f>D2911+D2912</f>
        <v>7.357492263152642</v>
      </c>
      <c r="E2913" s="1"/>
      <c r="F2913" s="1"/>
      <c r="G2913" s="1"/>
      <c r="H2913" s="1"/>
    </row>
    <row r="2914" spans="2:8" ht="12.75">
      <c r="B2914" s="6" t="s">
        <v>34</v>
      </c>
      <c r="C2914" s="23">
        <f>C2913/C2898/12*1000</f>
        <v>7.357492263152642</v>
      </c>
      <c r="D2914" s="8"/>
      <c r="E2914" s="1"/>
      <c r="F2914" s="1"/>
      <c r="G2914" s="1"/>
      <c r="H2914" s="1"/>
    </row>
    <row r="2915" spans="2:8" ht="12.75">
      <c r="B2915" s="1"/>
      <c r="C2915" s="1"/>
      <c r="D2915" s="1"/>
      <c r="E2915" s="1"/>
      <c r="F2915" s="1"/>
      <c r="G2915" s="1"/>
      <c r="H2915" s="1"/>
    </row>
    <row r="2916" spans="2:8" ht="12.75">
      <c r="B2916" s="1" t="s">
        <v>52</v>
      </c>
      <c r="C2916" s="1"/>
      <c r="D2916" s="1"/>
      <c r="E2916" s="1"/>
      <c r="F2916" s="1"/>
      <c r="G2916" s="1"/>
      <c r="H2916" s="1"/>
    </row>
    <row r="2917" spans="2:8" ht="12.75">
      <c r="B2917" s="1"/>
      <c r="C2917" s="1"/>
      <c r="D2917" s="1"/>
      <c r="E2917" s="1"/>
      <c r="F2917" s="1"/>
      <c r="G2917" s="1"/>
      <c r="H2917" s="1"/>
    </row>
    <row r="2918" spans="2:8" ht="12.75">
      <c r="B2918" s="2" t="s">
        <v>0</v>
      </c>
      <c r="C2918" s="2"/>
      <c r="D2918" s="2"/>
      <c r="E2918" s="1"/>
      <c r="F2918" s="1"/>
      <c r="G2918" s="1"/>
      <c r="H2918" s="1"/>
    </row>
    <row r="2919" spans="2:8" ht="12.75">
      <c r="B2919" s="2" t="s">
        <v>65</v>
      </c>
      <c r="C2919" s="2"/>
      <c r="D2919" s="2"/>
      <c r="E2919" s="1"/>
      <c r="F2919" s="1"/>
      <c r="G2919" s="1"/>
      <c r="H2919" s="1"/>
    </row>
    <row r="2920" spans="2:8" ht="12.75">
      <c r="B2920" s="2" t="s">
        <v>177</v>
      </c>
      <c r="C2920" s="2"/>
      <c r="D2920" s="2"/>
      <c r="E2920" s="1"/>
      <c r="F2920" s="1"/>
      <c r="G2920" s="1"/>
      <c r="H2920" s="1"/>
    </row>
    <row r="2921" spans="2:8" ht="12.75">
      <c r="B2921" s="3"/>
      <c r="C2921" s="3"/>
      <c r="D2921" s="1"/>
      <c r="E2921" s="1"/>
      <c r="F2921" s="1"/>
      <c r="G2921" s="1"/>
      <c r="H2921" s="1"/>
    </row>
    <row r="2922" spans="2:8" ht="12.75">
      <c r="B2922" s="5" t="s">
        <v>4</v>
      </c>
      <c r="C2922" s="31" t="s">
        <v>40</v>
      </c>
      <c r="D2922" s="6" t="s">
        <v>41</v>
      </c>
      <c r="E2922" s="1"/>
      <c r="F2922" s="1"/>
      <c r="G2922" s="1"/>
      <c r="H2922" s="1"/>
    </row>
    <row r="2923" spans="2:8" ht="12.75">
      <c r="B2923" s="6"/>
      <c r="C2923" s="6"/>
      <c r="D2923" s="7"/>
      <c r="E2923" s="1"/>
      <c r="F2923" s="1"/>
      <c r="G2923" s="1"/>
      <c r="H2923" s="1"/>
    </row>
    <row r="2924" spans="2:8" ht="12.75">
      <c r="B2924" s="10" t="s">
        <v>42</v>
      </c>
      <c r="C2924" s="8">
        <v>419.62</v>
      </c>
      <c r="D2924" s="8"/>
      <c r="E2924" s="1"/>
      <c r="F2924" s="1"/>
      <c r="G2924" s="1"/>
      <c r="H2924" s="1"/>
    </row>
    <row r="2925" spans="2:8" ht="12.75">
      <c r="B2925" s="11" t="s">
        <v>13</v>
      </c>
      <c r="C2925" s="58">
        <v>5</v>
      </c>
      <c r="D2925" s="14">
        <f>C2925/419.62/12*1000</f>
        <v>0.9929618861509619</v>
      </c>
      <c r="E2925" s="1"/>
      <c r="F2925" s="1"/>
      <c r="G2925" s="1"/>
      <c r="H2925" s="1"/>
    </row>
    <row r="2926" spans="2:8" ht="12.75">
      <c r="B2926" s="15" t="s">
        <v>14</v>
      </c>
      <c r="C2926" s="9">
        <f>SUM(C2927:C2929)</f>
        <v>19.6</v>
      </c>
      <c r="D2926" s="9">
        <f>SUM(D2927:D2929)</f>
        <v>3.892410593711771</v>
      </c>
      <c r="E2926" s="1"/>
      <c r="F2926" s="1"/>
      <c r="G2926" s="1"/>
      <c r="H2926" s="1"/>
    </row>
    <row r="2927" spans="2:8" ht="12.75">
      <c r="B2927" s="6" t="s">
        <v>43</v>
      </c>
      <c r="C2927" s="8">
        <v>3.27</v>
      </c>
      <c r="D2927" s="8">
        <f>C2927/419.62/12*1000</f>
        <v>0.6493970735427291</v>
      </c>
      <c r="E2927" s="1"/>
      <c r="F2927" s="1"/>
      <c r="G2927" s="1"/>
      <c r="H2927" s="1"/>
    </row>
    <row r="2928" spans="2:8" ht="12.75">
      <c r="B2928" s="17" t="s">
        <v>44</v>
      </c>
      <c r="C2928" s="8">
        <v>3.71</v>
      </c>
      <c r="D2928" s="8">
        <f>C2928/419.62/12*1000</f>
        <v>0.7367777195240138</v>
      </c>
      <c r="E2928" s="1"/>
      <c r="F2928" s="1"/>
      <c r="G2928" s="1"/>
      <c r="H2928" s="1"/>
    </row>
    <row r="2929" spans="2:8" ht="12.75">
      <c r="B2929" s="6" t="s">
        <v>16</v>
      </c>
      <c r="C2929" s="8">
        <f>11.97+0.65</f>
        <v>12.620000000000001</v>
      </c>
      <c r="D2929" s="8">
        <f>C2929/419.62/12*1000</f>
        <v>2.506235800645028</v>
      </c>
      <c r="E2929" s="1"/>
      <c r="F2929" s="1"/>
      <c r="G2929" s="1"/>
      <c r="H2929" s="1"/>
    </row>
    <row r="2930" spans="2:8" ht="12.75">
      <c r="B2930" s="10" t="s">
        <v>19</v>
      </c>
      <c r="C2930" s="22">
        <f>SUM(C2931:C2934)</f>
        <v>2.25</v>
      </c>
      <c r="D2930" s="22">
        <f>SUM(D2931:D2934)</f>
        <v>0.4468328487679329</v>
      </c>
      <c r="E2930" s="1"/>
      <c r="F2930" s="1"/>
      <c r="G2930" s="1"/>
      <c r="H2930" s="1"/>
    </row>
    <row r="2931" spans="2:8" ht="12.75">
      <c r="B2931" s="6" t="s">
        <v>45</v>
      </c>
      <c r="C2931" s="8">
        <v>0</v>
      </c>
      <c r="D2931" s="8">
        <f>C2931/419.62/12*1000</f>
        <v>0</v>
      </c>
      <c r="E2931" s="1"/>
      <c r="F2931" s="1"/>
      <c r="G2931" s="1"/>
      <c r="H2931" s="1"/>
    </row>
    <row r="2932" spans="2:8" ht="12.75">
      <c r="B2932" s="8" t="s">
        <v>48</v>
      </c>
      <c r="C2932" s="8">
        <v>1.86</v>
      </c>
      <c r="D2932" s="8">
        <f>C2932/419.62/12*1000</f>
        <v>0.36938182164815786</v>
      </c>
      <c r="E2932" s="1"/>
      <c r="F2932" s="1"/>
      <c r="G2932" s="1"/>
      <c r="H2932" s="1"/>
    </row>
    <row r="2933" spans="2:8" ht="12.75">
      <c r="B2933" s="8" t="s">
        <v>67</v>
      </c>
      <c r="C2933" s="8">
        <v>0</v>
      </c>
      <c r="D2933" s="8">
        <f>C2933/419.62/12*1000</f>
        <v>0</v>
      </c>
      <c r="E2933" s="1"/>
      <c r="F2933" s="1"/>
      <c r="G2933" s="1"/>
      <c r="H2933" s="1"/>
    </row>
    <row r="2934" spans="2:8" ht="12.75">
      <c r="B2934" s="8" t="s">
        <v>50</v>
      </c>
      <c r="C2934" s="8">
        <v>0.39</v>
      </c>
      <c r="D2934" s="8">
        <f>C2934/419.62/12*1000</f>
        <v>0.07745102711977503</v>
      </c>
      <c r="E2934" s="1"/>
      <c r="F2934" s="1"/>
      <c r="G2934" s="1"/>
      <c r="H2934" s="1"/>
    </row>
    <row r="2935" spans="2:8" ht="12.75">
      <c r="B2935" s="14" t="s">
        <v>27</v>
      </c>
      <c r="C2935" s="14">
        <f>6.26+0.57</f>
        <v>6.83</v>
      </c>
      <c r="D2935" s="14">
        <f>C2935/419.62/12*1000</f>
        <v>1.356385936482214</v>
      </c>
      <c r="E2935" s="1"/>
      <c r="F2935" s="1"/>
      <c r="G2935" s="1"/>
      <c r="H2935" s="1"/>
    </row>
    <row r="2936" spans="2:8" ht="12.75">
      <c r="B2936" s="14"/>
      <c r="C2936" s="14"/>
      <c r="D2936" s="8"/>
      <c r="E2936" s="1"/>
      <c r="F2936" s="1"/>
      <c r="G2936" s="1"/>
      <c r="H2936" s="1"/>
    </row>
    <row r="2937" spans="2:8" ht="12.75">
      <c r="B2937" s="14" t="s">
        <v>29</v>
      </c>
      <c r="C2937" s="23">
        <f>C2925+C2926+C2930+C2935+C2936</f>
        <v>33.68</v>
      </c>
      <c r="D2937" s="23">
        <f>D2925+D2926+D2930+D2935+D2936</f>
        <v>6.68859126511288</v>
      </c>
      <c r="E2937" s="1"/>
      <c r="F2937" s="1"/>
      <c r="G2937" s="1"/>
      <c r="H2937" s="1"/>
    </row>
    <row r="2938" spans="2:8" ht="12.75">
      <c r="B2938" s="8" t="s">
        <v>51</v>
      </c>
      <c r="C2938" s="8">
        <v>3.37</v>
      </c>
      <c r="D2938" s="8">
        <f>C2938/419.62/12*1000</f>
        <v>0.6692563112657485</v>
      </c>
      <c r="E2938" s="1"/>
      <c r="F2938" s="1"/>
      <c r="G2938" s="1"/>
      <c r="H2938" s="1"/>
    </row>
    <row r="2939" spans="2:8" ht="12.75">
      <c r="B2939" s="14" t="s">
        <v>31</v>
      </c>
      <c r="C2939" s="23">
        <f>C2937+C2938</f>
        <v>37.05</v>
      </c>
      <c r="D2939" s="23">
        <f>D2937+D2938</f>
        <v>7.357847576378628</v>
      </c>
      <c r="E2939" s="1"/>
      <c r="F2939" s="1"/>
      <c r="G2939" s="1"/>
      <c r="H2939" s="1"/>
    </row>
    <row r="2940" spans="2:8" ht="12.75">
      <c r="B2940" s="6" t="s">
        <v>34</v>
      </c>
      <c r="C2940" s="23">
        <f>C2939/C2924/12*1000</f>
        <v>7.357847576378627</v>
      </c>
      <c r="D2940" s="8"/>
      <c r="E2940" s="1"/>
      <c r="F2940" s="1"/>
      <c r="G2940" s="1"/>
      <c r="H2940" s="1"/>
    </row>
    <row r="2941" spans="2:8" ht="12.75">
      <c r="B2941" s="1"/>
      <c r="C2941" s="1"/>
      <c r="D2941" s="1"/>
      <c r="E2941" s="1"/>
      <c r="F2941" s="1"/>
      <c r="G2941" s="1"/>
      <c r="H2941" s="1"/>
    </row>
    <row r="2942" spans="2:8" ht="12.75">
      <c r="B2942" s="1" t="s">
        <v>52</v>
      </c>
      <c r="C2942" s="1"/>
      <c r="D2942" s="1"/>
      <c r="E2942" s="1"/>
      <c r="F2942" s="1"/>
      <c r="G2942" s="1"/>
      <c r="H2942" s="1"/>
    </row>
    <row r="2943" spans="2:8" ht="12.75">
      <c r="B2943" s="1"/>
      <c r="C2943" s="1"/>
      <c r="D2943" s="1"/>
      <c r="E2943" s="1"/>
      <c r="F2943" s="1"/>
      <c r="G2943" s="1"/>
      <c r="H2943" s="1"/>
    </row>
    <row r="2944" spans="2:8" ht="12.75">
      <c r="B2944" s="2" t="s">
        <v>0</v>
      </c>
      <c r="C2944" s="2"/>
      <c r="D2944" s="2"/>
      <c r="E2944" s="1"/>
      <c r="F2944" s="1"/>
      <c r="G2944" s="1"/>
      <c r="H2944" s="1"/>
    </row>
    <row r="2945" spans="2:8" ht="12.75">
      <c r="B2945" s="2" t="s">
        <v>65</v>
      </c>
      <c r="C2945" s="2"/>
      <c r="D2945" s="2"/>
      <c r="E2945" s="1"/>
      <c r="F2945" s="1"/>
      <c r="G2945" s="1"/>
      <c r="H2945" s="1"/>
    </row>
    <row r="2946" spans="2:8" ht="12.75">
      <c r="B2946" s="2" t="s">
        <v>178</v>
      </c>
      <c r="C2946" s="2"/>
      <c r="D2946" s="2"/>
      <c r="E2946" s="1"/>
      <c r="F2946" s="1"/>
      <c r="G2946" s="1"/>
      <c r="H2946" s="1"/>
    </row>
    <row r="2947" spans="2:8" ht="12.75">
      <c r="B2947" s="3"/>
      <c r="C2947" s="3"/>
      <c r="D2947" s="1"/>
      <c r="E2947" s="1"/>
      <c r="F2947" s="1"/>
      <c r="G2947" s="1"/>
      <c r="H2947" s="1"/>
    </row>
    <row r="2948" spans="2:8" ht="12.75">
      <c r="B2948" s="5" t="s">
        <v>4</v>
      </c>
      <c r="C2948" s="31" t="s">
        <v>40</v>
      </c>
      <c r="D2948" s="6" t="s">
        <v>41</v>
      </c>
      <c r="E2948" s="1"/>
      <c r="F2948" s="1"/>
      <c r="G2948" s="1"/>
      <c r="H2948" s="1"/>
    </row>
    <row r="2949" spans="2:8" ht="12.75">
      <c r="B2949" s="6"/>
      <c r="C2949" s="6"/>
      <c r="D2949" s="7"/>
      <c r="E2949" s="1"/>
      <c r="F2949" s="1"/>
      <c r="G2949" s="1"/>
      <c r="H2949" s="1"/>
    </row>
    <row r="2950" spans="2:8" ht="12.75">
      <c r="B2950" s="10" t="s">
        <v>42</v>
      </c>
      <c r="C2950" s="8">
        <v>373.9</v>
      </c>
      <c r="D2950" s="8"/>
      <c r="E2950" s="1"/>
      <c r="F2950" s="1"/>
      <c r="G2950" s="1"/>
      <c r="H2950" s="1"/>
    </row>
    <row r="2951" spans="2:8" ht="12.75">
      <c r="B2951" s="11" t="s">
        <v>13</v>
      </c>
      <c r="C2951" s="32">
        <v>4.46</v>
      </c>
      <c r="D2951" s="14">
        <f>C2951/373.9/12*1000</f>
        <v>0.9940269234198092</v>
      </c>
      <c r="E2951" s="1"/>
      <c r="F2951" s="1"/>
      <c r="G2951" s="1"/>
      <c r="H2951" s="1"/>
    </row>
    <row r="2952" spans="2:8" ht="12.75">
      <c r="B2952" s="15" t="s">
        <v>14</v>
      </c>
      <c r="C2952" s="9">
        <f>SUM(C2953:C2955)</f>
        <v>17.380000000000003</v>
      </c>
      <c r="D2952" s="9">
        <f>SUM(D2953:D2955)</f>
        <v>3.8735847374520818</v>
      </c>
      <c r="E2952" s="1"/>
      <c r="F2952" s="1"/>
      <c r="G2952" s="1"/>
      <c r="H2952" s="1"/>
    </row>
    <row r="2953" spans="2:8" ht="12.75">
      <c r="B2953" s="6" t="s">
        <v>43</v>
      </c>
      <c r="C2953" s="8">
        <v>2.92</v>
      </c>
      <c r="D2953" s="8">
        <f>C2953/373.9/12*1000</f>
        <v>0.6507978960506375</v>
      </c>
      <c r="E2953" s="1"/>
      <c r="F2953" s="1"/>
      <c r="G2953" s="1"/>
      <c r="H2953" s="1"/>
    </row>
    <row r="2954" spans="2:8" ht="12.75">
      <c r="B2954" s="17" t="s">
        <v>44</v>
      </c>
      <c r="C2954" s="8">
        <v>3.3</v>
      </c>
      <c r="D2954" s="8">
        <f>C2954/373.9/12*1000</f>
        <v>0.7354907729339396</v>
      </c>
      <c r="E2954" s="1"/>
      <c r="F2954" s="1"/>
      <c r="G2954" s="1"/>
      <c r="H2954" s="1"/>
    </row>
    <row r="2955" spans="2:8" ht="12.75">
      <c r="B2955" s="6" t="s">
        <v>16</v>
      </c>
      <c r="C2955" s="8">
        <f>10.57+0.59</f>
        <v>11.16</v>
      </c>
      <c r="D2955" s="8">
        <f>C2955/373.9/12*1000</f>
        <v>2.4872960684675047</v>
      </c>
      <c r="E2955" s="1"/>
      <c r="F2955" s="1"/>
      <c r="G2955" s="1"/>
      <c r="H2955" s="1"/>
    </row>
    <row r="2956" spans="2:8" ht="12.75">
      <c r="B2956" s="10" t="s">
        <v>19</v>
      </c>
      <c r="C2956" s="22">
        <f>SUM(C2957:C2959)</f>
        <v>2.11</v>
      </c>
      <c r="D2956" s="22">
        <f>SUM(D2957:D2959)</f>
        <v>0.47026834269412504</v>
      </c>
      <c r="E2956" s="1"/>
      <c r="F2956" s="1"/>
      <c r="G2956" s="1"/>
      <c r="H2956" s="1"/>
    </row>
    <row r="2957" spans="2:8" ht="12.75">
      <c r="B2957" s="6" t="s">
        <v>45</v>
      </c>
      <c r="C2957" s="8">
        <v>0</v>
      </c>
      <c r="D2957" s="8">
        <f>C2957/373.9/12*1000</f>
        <v>0</v>
      </c>
      <c r="E2957" s="1"/>
      <c r="F2957" s="1"/>
      <c r="G2957" s="1"/>
      <c r="H2957" s="1"/>
    </row>
    <row r="2958" spans="2:8" ht="12.75">
      <c r="B2958" s="8" t="s">
        <v>48</v>
      </c>
      <c r="C2958" s="8">
        <v>1.73</v>
      </c>
      <c r="D2958" s="8">
        <f>C2958/373.9/12*1000</f>
        <v>0.3855754658108229</v>
      </c>
      <c r="E2958" s="1"/>
      <c r="F2958" s="1"/>
      <c r="G2958" s="1"/>
      <c r="H2958" s="1"/>
    </row>
    <row r="2959" spans="2:8" ht="12.75">
      <c r="B2959" s="8" t="s">
        <v>50</v>
      </c>
      <c r="C2959" s="8">
        <v>0.38</v>
      </c>
      <c r="D2959" s="8">
        <f>C2959/373.9/12*1000</f>
        <v>0.08469287688330213</v>
      </c>
      <c r="E2959" s="1"/>
      <c r="F2959" s="1"/>
      <c r="G2959" s="1"/>
      <c r="H2959" s="1"/>
    </row>
    <row r="2960" spans="2:8" ht="12.75">
      <c r="B2960" s="14" t="s">
        <v>27</v>
      </c>
      <c r="C2960" s="14">
        <f>5.58+0.51</f>
        <v>6.09</v>
      </c>
      <c r="D2960" s="14">
        <f>C2960/373.9/12*1000</f>
        <v>1.3573147900508156</v>
      </c>
      <c r="E2960" s="1"/>
      <c r="F2960" s="1"/>
      <c r="G2960" s="1"/>
      <c r="H2960" s="1"/>
    </row>
    <row r="2961" spans="2:8" ht="12.75">
      <c r="B2961" s="14"/>
      <c r="C2961" s="14"/>
      <c r="D2961" s="8"/>
      <c r="E2961" s="1"/>
      <c r="F2961" s="1"/>
      <c r="G2961" s="1"/>
      <c r="H2961" s="1"/>
    </row>
    <row r="2962" spans="2:8" ht="12.75">
      <c r="B2962" s="14" t="s">
        <v>29</v>
      </c>
      <c r="C2962" s="23">
        <f>C2951+C2952+C2956+C2960+C2961</f>
        <v>30.040000000000003</v>
      </c>
      <c r="D2962" s="23">
        <f>D2951+D2952+D2956+D2960+D2961</f>
        <v>6.695194793616832</v>
      </c>
      <c r="E2962" s="1"/>
      <c r="F2962" s="1"/>
      <c r="G2962" s="1"/>
      <c r="H2962" s="1"/>
    </row>
    <row r="2963" spans="2:8" ht="12.75">
      <c r="B2963" s="8" t="s">
        <v>51</v>
      </c>
      <c r="C2963" s="21">
        <v>3</v>
      </c>
      <c r="D2963" s="8">
        <f>C2963/373.9/12*1000</f>
        <v>0.6686279753944905</v>
      </c>
      <c r="E2963" s="1"/>
      <c r="F2963" s="1"/>
      <c r="G2963" s="1"/>
      <c r="H2963" s="1"/>
    </row>
    <row r="2964" spans="2:8" ht="12.75">
      <c r="B2964" s="14" t="s">
        <v>31</v>
      </c>
      <c r="C2964" s="23">
        <f>C2962+C2963</f>
        <v>33.040000000000006</v>
      </c>
      <c r="D2964" s="23">
        <f>D2962+D2963</f>
        <v>7.363822769011322</v>
      </c>
      <c r="E2964" s="1"/>
      <c r="F2964" s="1"/>
      <c r="G2964" s="1"/>
      <c r="H2964" s="1"/>
    </row>
    <row r="2965" spans="2:8" ht="12.75">
      <c r="B2965" s="6" t="s">
        <v>34</v>
      </c>
      <c r="C2965" s="23">
        <f>C2964/C2950/12*1000</f>
        <v>7.363822769011323</v>
      </c>
      <c r="D2965" s="8"/>
      <c r="E2965" s="1"/>
      <c r="F2965" s="1"/>
      <c r="G2965" s="1"/>
      <c r="H2965" s="1"/>
    </row>
    <row r="2966" spans="2:8" ht="12.75">
      <c r="B2966" s="1"/>
      <c r="C2966" s="1"/>
      <c r="D2966" s="1"/>
      <c r="E2966" s="1"/>
      <c r="F2966" s="1"/>
      <c r="G2966" s="1"/>
      <c r="H2966" s="1"/>
    </row>
    <row r="2967" spans="2:8" ht="12.75">
      <c r="B2967" s="1" t="s">
        <v>52</v>
      </c>
      <c r="C2967" s="1"/>
      <c r="D2967" s="1"/>
      <c r="E2967" s="1"/>
      <c r="F2967" s="1"/>
      <c r="G2967" s="1"/>
      <c r="H2967" s="1"/>
    </row>
    <row r="2968" spans="2:8" ht="12.75">
      <c r="B2968" s="1"/>
      <c r="C2968" s="1"/>
      <c r="D2968" s="1"/>
      <c r="E2968" s="1"/>
      <c r="F2968" s="1"/>
      <c r="G2968" s="1"/>
      <c r="H2968" s="1"/>
    </row>
    <row r="2969" spans="2:8" ht="12.75">
      <c r="B2969" s="2" t="s">
        <v>0</v>
      </c>
      <c r="C2969" s="2"/>
      <c r="D2969" s="2"/>
      <c r="E2969" s="1"/>
      <c r="F2969" s="1"/>
      <c r="G2969" s="1"/>
      <c r="H2969" s="1"/>
    </row>
    <row r="2970" spans="2:8" ht="12.75">
      <c r="B2970" s="2" t="s">
        <v>65</v>
      </c>
      <c r="C2970" s="2"/>
      <c r="D2970" s="2"/>
      <c r="E2970" s="1"/>
      <c r="F2970" s="1"/>
      <c r="G2970" s="1"/>
      <c r="H2970" s="1"/>
    </row>
    <row r="2971" spans="2:8" ht="12.75">
      <c r="B2971" s="2" t="s">
        <v>179</v>
      </c>
      <c r="C2971" s="2"/>
      <c r="D2971" s="2"/>
      <c r="E2971" s="1"/>
      <c r="F2971" s="1"/>
      <c r="G2971" s="1"/>
      <c r="H2971" s="1"/>
    </row>
    <row r="2972" spans="2:8" ht="12.75">
      <c r="B2972" s="3"/>
      <c r="C2972" s="3"/>
      <c r="D2972" s="1"/>
      <c r="E2972" s="1"/>
      <c r="F2972" s="1"/>
      <c r="G2972" s="1"/>
      <c r="H2972" s="1"/>
    </row>
    <row r="2973" spans="2:8" ht="12.75">
      <c r="B2973" s="5" t="s">
        <v>4</v>
      </c>
      <c r="C2973" s="31" t="s">
        <v>40</v>
      </c>
      <c r="D2973" s="6" t="s">
        <v>41</v>
      </c>
      <c r="E2973" s="1"/>
      <c r="F2973" s="1"/>
      <c r="G2973" s="1"/>
      <c r="H2973" s="1"/>
    </row>
    <row r="2974" spans="2:8" ht="12.75">
      <c r="B2974" s="6"/>
      <c r="C2974" s="6"/>
      <c r="D2974" s="7"/>
      <c r="E2974" s="1"/>
      <c r="F2974" s="1"/>
      <c r="G2974" s="1"/>
      <c r="H2974" s="1"/>
    </row>
    <row r="2975" spans="2:8" ht="12.75">
      <c r="B2975" s="10" t="s">
        <v>42</v>
      </c>
      <c r="C2975" s="8">
        <v>258</v>
      </c>
      <c r="D2975" s="8"/>
      <c r="E2975" s="1"/>
      <c r="F2975" s="1"/>
      <c r="G2975" s="1"/>
      <c r="H2975" s="1"/>
    </row>
    <row r="2976" spans="2:8" ht="12.75">
      <c r="B2976" s="11" t="s">
        <v>13</v>
      </c>
      <c r="C2976" s="32">
        <v>3.08</v>
      </c>
      <c r="D2976" s="14">
        <f>C2976/258/12*1000</f>
        <v>0.9948320413436693</v>
      </c>
      <c r="E2976" s="1"/>
      <c r="F2976" s="1"/>
      <c r="G2976" s="1"/>
      <c r="H2976" s="1"/>
    </row>
    <row r="2977" spans="2:8" ht="12.75">
      <c r="B2977" s="15" t="s">
        <v>14</v>
      </c>
      <c r="C2977" s="9">
        <f>SUM(C2978:C2980)</f>
        <v>12.040000000000001</v>
      </c>
      <c r="D2977" s="9">
        <f>SUM(D2978:D2980)</f>
        <v>3.888888888888889</v>
      </c>
      <c r="E2977" s="1"/>
      <c r="F2977" s="1"/>
      <c r="G2977" s="1"/>
      <c r="H2977" s="1"/>
    </row>
    <row r="2978" spans="2:8" ht="12.75">
      <c r="B2978" s="6" t="s">
        <v>43</v>
      </c>
      <c r="C2978" s="8">
        <v>2.01</v>
      </c>
      <c r="D2978" s="8">
        <f>C2978/258/12*1000</f>
        <v>0.6492248062015503</v>
      </c>
      <c r="E2978" s="1"/>
      <c r="F2978" s="1"/>
      <c r="G2978" s="1"/>
      <c r="H2978" s="1"/>
    </row>
    <row r="2979" spans="2:8" ht="12.75">
      <c r="B2979" s="17" t="s">
        <v>44</v>
      </c>
      <c r="C2979" s="8">
        <v>2.2800000000000002</v>
      </c>
      <c r="D2979" s="8">
        <f>C2979/258/12*1000</f>
        <v>0.7364341085271319</v>
      </c>
      <c r="E2979" s="1"/>
      <c r="F2979" s="1"/>
      <c r="G2979" s="1"/>
      <c r="H2979" s="1"/>
    </row>
    <row r="2980" spans="2:8" ht="12.75">
      <c r="B2980" s="6" t="s">
        <v>16</v>
      </c>
      <c r="C2980" s="8">
        <f>6.01+0.4+1.34</f>
        <v>7.75</v>
      </c>
      <c r="D2980" s="8">
        <f>C2980/258/12*1000</f>
        <v>2.503229974160207</v>
      </c>
      <c r="E2980" s="1"/>
      <c r="F2980" s="1"/>
      <c r="G2980" s="1"/>
      <c r="H2980" s="1"/>
    </row>
    <row r="2981" spans="2:8" ht="12.75">
      <c r="B2981" s="10" t="s">
        <v>19</v>
      </c>
      <c r="C2981" s="22">
        <f>SUM(C2982:C2985)</f>
        <v>1.4000000000000001</v>
      </c>
      <c r="D2981" s="22">
        <f>SUM(D2982:D2985)</f>
        <v>0.4521963824289406</v>
      </c>
      <c r="E2981" s="1"/>
      <c r="F2981" s="1"/>
      <c r="G2981" s="1"/>
      <c r="H2981" s="1"/>
    </row>
    <row r="2982" spans="2:8" ht="12.75">
      <c r="B2982" s="6" t="s">
        <v>45</v>
      </c>
      <c r="C2982" s="8">
        <v>0</v>
      </c>
      <c r="D2982" s="8">
        <f>C2982/258/12*1000</f>
        <v>0</v>
      </c>
      <c r="E2982" s="1"/>
      <c r="F2982" s="1"/>
      <c r="G2982" s="1"/>
      <c r="H2982" s="1"/>
    </row>
    <row r="2983" spans="2:8" ht="12.75">
      <c r="B2983" s="6" t="s">
        <v>46</v>
      </c>
      <c r="C2983" s="8">
        <v>0</v>
      </c>
      <c r="D2983" s="8">
        <f>C2983/258/12*1000</f>
        <v>0</v>
      </c>
      <c r="E2983" s="1"/>
      <c r="F2983" s="1"/>
      <c r="G2983" s="1"/>
      <c r="H2983" s="1"/>
    </row>
    <row r="2984" spans="2:8" ht="12.75">
      <c r="B2984" s="8" t="s">
        <v>48</v>
      </c>
      <c r="C2984" s="8">
        <v>1.06</v>
      </c>
      <c r="D2984" s="8">
        <f>C2984/258/12*1000</f>
        <v>0.3423772609819122</v>
      </c>
      <c r="E2984" s="1"/>
      <c r="F2984" s="1"/>
      <c r="G2984" s="1"/>
      <c r="H2984" s="1"/>
    </row>
    <row r="2985" spans="2:8" ht="12.75">
      <c r="B2985" s="8" t="s">
        <v>50</v>
      </c>
      <c r="C2985" s="8">
        <v>0.34</v>
      </c>
      <c r="D2985" s="8">
        <f>C2985/258/12*1000</f>
        <v>0.10981912144702843</v>
      </c>
      <c r="E2985" s="1"/>
      <c r="F2985" s="1"/>
      <c r="G2985" s="1"/>
      <c r="H2985" s="1"/>
    </row>
    <row r="2986" spans="2:8" ht="12.75">
      <c r="B2986" s="14" t="s">
        <v>27</v>
      </c>
      <c r="C2986" s="14">
        <f>3.85+0.35</f>
        <v>4.2</v>
      </c>
      <c r="D2986" s="14">
        <f>C2986/258/12*1000</f>
        <v>1.3565891472868217</v>
      </c>
      <c r="E2986" s="1"/>
      <c r="F2986" s="1"/>
      <c r="G2986" s="1"/>
      <c r="H2986" s="1"/>
    </row>
    <row r="2987" spans="2:8" ht="12.75">
      <c r="B2987" s="14"/>
      <c r="C2987" s="14"/>
      <c r="D2987" s="8"/>
      <c r="E2987" s="1"/>
      <c r="F2987" s="1"/>
      <c r="G2987" s="1"/>
      <c r="H2987" s="1"/>
    </row>
    <row r="2988" spans="2:8" ht="12.75">
      <c r="B2988" s="14" t="s">
        <v>29</v>
      </c>
      <c r="C2988" s="23">
        <f>C2976+C2977+C2981+C2986+C2987</f>
        <v>20.72</v>
      </c>
      <c r="D2988" s="23">
        <f>D2976+D2977+D2981+D2986+D2987</f>
        <v>6.69250645994832</v>
      </c>
      <c r="E2988" s="1"/>
      <c r="F2988" s="1"/>
      <c r="G2988" s="1"/>
      <c r="H2988" s="1"/>
    </row>
    <row r="2989" spans="2:8" ht="12.75">
      <c r="B2989" s="8" t="s">
        <v>51</v>
      </c>
      <c r="C2989" s="8">
        <v>2.07</v>
      </c>
      <c r="D2989" s="8">
        <f>C2989/258/12*1000</f>
        <v>0.6686046511627907</v>
      </c>
      <c r="E2989" s="1"/>
      <c r="F2989" s="1"/>
      <c r="G2989" s="1"/>
      <c r="H2989" s="1"/>
    </row>
    <row r="2990" spans="2:8" ht="12.75">
      <c r="B2990" s="14" t="s">
        <v>31</v>
      </c>
      <c r="C2990" s="23">
        <f>C2988+C2989</f>
        <v>22.79</v>
      </c>
      <c r="D2990" s="23">
        <f>D2988+D2989</f>
        <v>7.361111111111111</v>
      </c>
      <c r="E2990" s="1"/>
      <c r="F2990" s="1"/>
      <c r="G2990" s="1"/>
      <c r="H2990" s="1"/>
    </row>
    <row r="2991" spans="2:8" ht="12.75">
      <c r="B2991" s="6" t="s">
        <v>34</v>
      </c>
      <c r="C2991" s="23">
        <f>C2990/C2975/12*1000</f>
        <v>7.361111111111111</v>
      </c>
      <c r="D2991" s="8"/>
      <c r="E2991" s="1"/>
      <c r="F2991" s="1"/>
      <c r="G2991" s="1"/>
      <c r="H2991" s="1"/>
    </row>
    <row r="2992" spans="2:8" ht="12.75">
      <c r="B2992" s="1"/>
      <c r="C2992" s="1"/>
      <c r="D2992" s="1"/>
      <c r="E2992" s="1"/>
      <c r="F2992" s="1"/>
      <c r="G2992" s="1"/>
      <c r="H2992" s="1"/>
    </row>
    <row r="2993" spans="2:8" ht="12.75">
      <c r="B2993" s="1" t="s">
        <v>52</v>
      </c>
      <c r="C2993" s="1"/>
      <c r="D2993" s="1"/>
      <c r="E2993" s="1"/>
      <c r="F2993" s="1"/>
      <c r="G2993" s="1"/>
      <c r="H2993" s="1"/>
    </row>
    <row r="2994" spans="2:8" ht="12.75">
      <c r="B2994" s="1"/>
      <c r="C2994" s="1"/>
      <c r="D2994" s="1"/>
      <c r="E2994" s="1"/>
      <c r="F2994" s="1"/>
      <c r="G2994" s="1"/>
      <c r="H2994" s="1"/>
    </row>
    <row r="2995" spans="2:8" ht="12.75">
      <c r="B2995" s="2" t="s">
        <v>0</v>
      </c>
      <c r="C2995" s="2"/>
      <c r="D2995" s="2"/>
      <c r="E2995" s="1"/>
      <c r="F2995" s="1"/>
      <c r="G2995" s="1"/>
      <c r="H2995" s="1"/>
    </row>
    <row r="2996" spans="2:8" ht="12.75">
      <c r="B2996" s="2" t="s">
        <v>65</v>
      </c>
      <c r="C2996" s="2"/>
      <c r="D2996" s="2"/>
      <c r="E2996" s="1"/>
      <c r="F2996" s="1"/>
      <c r="G2996" s="1"/>
      <c r="H2996" s="1"/>
    </row>
    <row r="2997" spans="2:8" ht="12.75">
      <c r="B2997" s="2" t="s">
        <v>180</v>
      </c>
      <c r="C2997" s="2"/>
      <c r="D2997" s="2"/>
      <c r="E2997" s="1"/>
      <c r="F2997" s="1"/>
      <c r="G2997" s="1"/>
      <c r="H2997" s="1"/>
    </row>
    <row r="2998" spans="2:8" ht="12.75">
      <c r="B2998" s="3"/>
      <c r="C2998" s="3"/>
      <c r="D2998" s="1"/>
      <c r="E2998" s="1"/>
      <c r="F2998" s="1"/>
      <c r="G2998" s="1"/>
      <c r="H2998" s="1"/>
    </row>
    <row r="2999" spans="2:8" ht="12.75">
      <c r="B2999" s="5" t="s">
        <v>4</v>
      </c>
      <c r="C2999" s="31" t="s">
        <v>40</v>
      </c>
      <c r="D2999" s="6" t="s">
        <v>41</v>
      </c>
      <c r="E2999" s="1"/>
      <c r="F2999" s="1"/>
      <c r="G2999" s="1"/>
      <c r="H2999" s="1"/>
    </row>
    <row r="3000" spans="2:8" ht="12.75">
      <c r="B3000" s="6"/>
      <c r="C3000" s="6"/>
      <c r="D3000" s="7"/>
      <c r="E3000" s="1"/>
      <c r="F3000" s="1"/>
      <c r="G3000" s="1"/>
      <c r="H3000" s="1"/>
    </row>
    <row r="3001" spans="2:8" ht="12.75">
      <c r="B3001" s="10" t="s">
        <v>42</v>
      </c>
      <c r="C3001" s="8">
        <v>154.8</v>
      </c>
      <c r="D3001" s="8"/>
      <c r="E3001" s="1"/>
      <c r="F3001" s="1"/>
      <c r="G3001" s="1"/>
      <c r="H3001" s="1"/>
    </row>
    <row r="3002" spans="2:8" ht="12.75">
      <c r="B3002" s="11" t="s">
        <v>13</v>
      </c>
      <c r="C3002" s="32">
        <v>1.85</v>
      </c>
      <c r="D3002" s="25">
        <f>C3002/154.8/12*1000</f>
        <v>0.9959086993970715</v>
      </c>
      <c r="E3002" s="1"/>
      <c r="F3002" s="1"/>
      <c r="G3002" s="1"/>
      <c r="H3002" s="1"/>
    </row>
    <row r="3003" spans="2:8" ht="12.75">
      <c r="B3003" s="15" t="s">
        <v>14</v>
      </c>
      <c r="C3003" s="9">
        <f>SUM(C3004:C3006)</f>
        <v>7.68</v>
      </c>
      <c r="D3003" s="57">
        <f>SUM(D3004:D3006)</f>
        <v>4.134366925064599</v>
      </c>
      <c r="E3003" s="1"/>
      <c r="F3003" s="1"/>
      <c r="G3003" s="1"/>
      <c r="H3003" s="1"/>
    </row>
    <row r="3004" spans="2:8" ht="12.75">
      <c r="B3004" s="6" t="s">
        <v>43</v>
      </c>
      <c r="C3004" s="8">
        <v>1.21</v>
      </c>
      <c r="D3004" s="21">
        <f>C3004/154.8/12*1000</f>
        <v>0.6513781223083547</v>
      </c>
      <c r="E3004" s="1"/>
      <c r="F3004" s="1"/>
      <c r="G3004" s="1"/>
      <c r="H3004" s="1"/>
    </row>
    <row r="3005" spans="2:8" ht="12.75">
      <c r="B3005" s="17" t="s">
        <v>44</v>
      </c>
      <c r="C3005" s="8">
        <v>1.37</v>
      </c>
      <c r="D3005" s="21">
        <f>C3005/154.8/12*1000</f>
        <v>0.737510766580534</v>
      </c>
      <c r="E3005" s="1"/>
      <c r="F3005" s="1"/>
      <c r="G3005" s="1"/>
      <c r="H3005" s="1"/>
    </row>
    <row r="3006" spans="2:8" ht="12.75">
      <c r="B3006" s="6" t="s">
        <v>16</v>
      </c>
      <c r="C3006" s="8">
        <f>4.85+0.25</f>
        <v>5.1</v>
      </c>
      <c r="D3006" s="21">
        <f>C3006/154.8/12*1000</f>
        <v>2.7454780361757103</v>
      </c>
      <c r="E3006" s="1"/>
      <c r="F3006" s="1"/>
      <c r="G3006" s="1"/>
      <c r="H3006" s="1"/>
    </row>
    <row r="3007" spans="2:8" ht="12.75">
      <c r="B3007" s="10" t="s">
        <v>19</v>
      </c>
      <c r="C3007" s="22">
        <f>SUM(C3008:C3010)</f>
        <v>0.4</v>
      </c>
      <c r="D3007" s="22">
        <f>SUM(D3008:D3010)</f>
        <v>0.2153316106804479</v>
      </c>
      <c r="E3007" s="1"/>
      <c r="F3007" s="1"/>
      <c r="G3007" s="1"/>
      <c r="H3007" s="1"/>
    </row>
    <row r="3008" spans="2:8" ht="12.75">
      <c r="B3008" s="6" t="s">
        <v>45</v>
      </c>
      <c r="C3008" s="8">
        <v>0</v>
      </c>
      <c r="D3008" s="21">
        <f>C3008/154.8/12*1000</f>
        <v>0</v>
      </c>
      <c r="E3008" s="1"/>
      <c r="F3008" s="1"/>
      <c r="G3008" s="1"/>
      <c r="H3008" s="1"/>
    </row>
    <row r="3009" spans="2:8" ht="12.75">
      <c r="B3009" s="8" t="s">
        <v>48</v>
      </c>
      <c r="C3009" s="8">
        <v>0.4</v>
      </c>
      <c r="D3009" s="21">
        <f>C3009/154.8/12*1000</f>
        <v>0.2153316106804479</v>
      </c>
      <c r="E3009" s="1"/>
      <c r="F3009" s="1"/>
      <c r="G3009" s="1"/>
      <c r="H3009" s="1"/>
    </row>
    <row r="3010" spans="2:8" ht="12.75">
      <c r="B3010" s="8" t="s">
        <v>50</v>
      </c>
      <c r="C3010" s="8"/>
      <c r="D3010" s="21">
        <f>C3010/154.8/12*1000</f>
        <v>0</v>
      </c>
      <c r="E3010" s="1"/>
      <c r="F3010" s="1"/>
      <c r="G3010" s="1"/>
      <c r="H3010" s="1"/>
    </row>
    <row r="3011" spans="2:8" ht="12.75">
      <c r="B3011" s="14" t="s">
        <v>27</v>
      </c>
      <c r="C3011" s="14">
        <f>2.3+0.21</f>
        <v>2.51</v>
      </c>
      <c r="D3011" s="21">
        <f>C3011/154.8/12*1000</f>
        <v>1.3512058570198102</v>
      </c>
      <c r="E3011" s="1"/>
      <c r="F3011" s="1"/>
      <c r="G3011" s="1"/>
      <c r="H3011" s="1"/>
    </row>
    <row r="3012" spans="2:8" ht="12.75">
      <c r="B3012" s="14"/>
      <c r="C3012" s="14"/>
      <c r="D3012" s="21">
        <f>C3012/154.8/12*1000</f>
        <v>0</v>
      </c>
      <c r="E3012" s="1"/>
      <c r="F3012" s="1"/>
      <c r="G3012" s="1"/>
      <c r="H3012" s="1"/>
    </row>
    <row r="3013" spans="2:8" ht="12.75">
      <c r="B3013" s="14" t="s">
        <v>29</v>
      </c>
      <c r="C3013" s="23">
        <f>C3002+C3003+C3007+C3011+C3012</f>
        <v>12.44</v>
      </c>
      <c r="D3013" s="33">
        <f>C3013/154.8/12*1000</f>
        <v>6.696813092161929</v>
      </c>
      <c r="E3013" s="1"/>
      <c r="F3013" s="1"/>
      <c r="G3013" s="1"/>
      <c r="H3013" s="1"/>
    </row>
    <row r="3014" spans="2:8" ht="12.75">
      <c r="B3014" s="8" t="s">
        <v>51</v>
      </c>
      <c r="C3014" s="8">
        <v>1.24</v>
      </c>
      <c r="D3014" s="33">
        <f>C3014/154.8/12*1000</f>
        <v>0.6675279931093884</v>
      </c>
      <c r="E3014" s="1"/>
      <c r="F3014" s="1"/>
      <c r="G3014" s="1"/>
      <c r="H3014" s="1"/>
    </row>
    <row r="3015" spans="2:8" ht="12.75">
      <c r="B3015" s="14" t="s">
        <v>31</v>
      </c>
      <c r="C3015" s="23">
        <f>C3013+C3014</f>
        <v>13.68</v>
      </c>
      <c r="D3015" s="23">
        <f>D3013+D3014</f>
        <v>7.364341085271318</v>
      </c>
      <c r="E3015" s="1"/>
      <c r="F3015" s="1"/>
      <c r="G3015" s="1"/>
      <c r="H3015" s="1"/>
    </row>
    <row r="3016" spans="2:8" ht="12.75">
      <c r="B3016" s="6" t="s">
        <v>34</v>
      </c>
      <c r="C3016" s="23">
        <f>C3015/C3001/12*1000</f>
        <v>7.364341085271317</v>
      </c>
      <c r="D3016" s="8"/>
      <c r="E3016" s="1"/>
      <c r="F3016" s="1"/>
      <c r="G3016" s="1"/>
      <c r="H3016" s="1"/>
    </row>
    <row r="3017" spans="2:8" ht="12.75">
      <c r="B3017" s="1"/>
      <c r="C3017" s="1"/>
      <c r="D3017" s="1"/>
      <c r="E3017" s="1"/>
      <c r="F3017" s="1"/>
      <c r="G3017" s="1"/>
      <c r="H3017" s="1"/>
    </row>
    <row r="3018" spans="2:8" ht="12.75">
      <c r="B3018" s="1" t="s">
        <v>52</v>
      </c>
      <c r="C3018" s="1"/>
      <c r="D3018" s="1"/>
      <c r="E3018" s="1"/>
      <c r="F3018" s="1"/>
      <c r="G3018" s="1"/>
      <c r="H3018" s="1"/>
    </row>
    <row r="3019" spans="2:8" ht="12.75">
      <c r="B3019" s="1"/>
      <c r="C3019" s="1"/>
      <c r="D3019" s="1"/>
      <c r="E3019" s="1"/>
      <c r="F3019" s="1"/>
      <c r="G3019" s="1"/>
      <c r="H3019" s="1"/>
    </row>
    <row r="3020" spans="2:8" ht="12.75">
      <c r="B3020" s="2" t="s">
        <v>0</v>
      </c>
      <c r="C3020" s="2"/>
      <c r="D3020" s="2"/>
      <c r="E3020" s="1"/>
      <c r="F3020" s="1"/>
      <c r="G3020" s="1"/>
      <c r="H3020" s="1"/>
    </row>
    <row r="3021" spans="2:8" ht="12.75">
      <c r="B3021" s="2" t="s">
        <v>65</v>
      </c>
      <c r="C3021" s="2"/>
      <c r="D3021" s="2"/>
      <c r="E3021" s="1"/>
      <c r="F3021" s="1"/>
      <c r="G3021" s="1"/>
      <c r="H3021" s="1"/>
    </row>
    <row r="3022" spans="2:8" ht="12.75">
      <c r="B3022" s="2" t="s">
        <v>181</v>
      </c>
      <c r="C3022" s="2"/>
      <c r="D3022" s="2"/>
      <c r="E3022" s="1"/>
      <c r="F3022" s="1"/>
      <c r="G3022" s="1"/>
      <c r="H3022" s="1"/>
    </row>
    <row r="3023" spans="2:8" ht="12.75">
      <c r="B3023" s="3"/>
      <c r="C3023" s="3"/>
      <c r="D3023" s="1"/>
      <c r="E3023" s="1"/>
      <c r="F3023" s="1"/>
      <c r="G3023" s="1"/>
      <c r="H3023" s="1"/>
    </row>
    <row r="3024" spans="2:8" ht="12.75">
      <c r="B3024" s="5" t="s">
        <v>4</v>
      </c>
      <c r="C3024" s="31" t="s">
        <v>40</v>
      </c>
      <c r="D3024" s="6" t="s">
        <v>41</v>
      </c>
      <c r="E3024" s="1"/>
      <c r="F3024" s="1"/>
      <c r="G3024" s="1"/>
      <c r="H3024" s="1"/>
    </row>
    <row r="3025" spans="2:8" ht="12.75">
      <c r="B3025" s="6"/>
      <c r="C3025" s="6"/>
      <c r="D3025" s="7"/>
      <c r="E3025" s="1"/>
      <c r="F3025" s="1"/>
      <c r="G3025" s="1"/>
      <c r="H3025" s="1"/>
    </row>
    <row r="3026" spans="2:8" ht="12.75">
      <c r="B3026" s="10" t="s">
        <v>42</v>
      </c>
      <c r="C3026" s="8">
        <v>396.1</v>
      </c>
      <c r="D3026" s="8"/>
      <c r="E3026" s="1"/>
      <c r="F3026" s="1"/>
      <c r="G3026" s="1"/>
      <c r="H3026" s="1"/>
    </row>
    <row r="3027" spans="2:8" ht="12.75">
      <c r="B3027" s="11" t="s">
        <v>13</v>
      </c>
      <c r="C3027" s="32">
        <v>6.65</v>
      </c>
      <c r="D3027" s="14">
        <f>C3027/396.1/12*1000</f>
        <v>1.3990574770680806</v>
      </c>
      <c r="E3027" s="1"/>
      <c r="F3027" s="1"/>
      <c r="G3027" s="1"/>
      <c r="H3027" s="1"/>
    </row>
    <row r="3028" spans="2:8" ht="12.75">
      <c r="B3028" s="15" t="s">
        <v>14</v>
      </c>
      <c r="C3028" s="9">
        <f>SUM(C3029:C3031)</f>
        <v>17.75</v>
      </c>
      <c r="D3028" s="9">
        <f>SUM(D3029:D3031)</f>
        <v>3.734326348565177</v>
      </c>
      <c r="E3028" s="1"/>
      <c r="F3028" s="1"/>
      <c r="G3028" s="1"/>
      <c r="H3028" s="1"/>
    </row>
    <row r="3029" spans="2:8" ht="12.75">
      <c r="B3029" s="6" t="s">
        <v>43</v>
      </c>
      <c r="C3029" s="8">
        <v>3.09</v>
      </c>
      <c r="D3029" s="8">
        <f>C3029/396.1/12*1000</f>
        <v>0.6500883615248674</v>
      </c>
      <c r="E3029" s="1"/>
      <c r="F3029" s="1"/>
      <c r="G3029" s="1"/>
      <c r="H3029" s="1"/>
    </row>
    <row r="3030" spans="2:8" ht="12.75">
      <c r="B3030" s="17" t="s">
        <v>44</v>
      </c>
      <c r="C3030" s="8">
        <v>3.5</v>
      </c>
      <c r="D3030" s="8">
        <f>C3030/396.1/12*1000</f>
        <v>0.7363460405621475</v>
      </c>
      <c r="E3030" s="1"/>
      <c r="F3030" s="1"/>
      <c r="G3030" s="1"/>
      <c r="H3030" s="1"/>
    </row>
    <row r="3031" spans="2:8" ht="12.75">
      <c r="B3031" s="6" t="s">
        <v>16</v>
      </c>
      <c r="C3031" s="8">
        <v>11.16</v>
      </c>
      <c r="D3031" s="8">
        <f>C3031/396.1/12*1000</f>
        <v>2.347891946478162</v>
      </c>
      <c r="E3031" s="1"/>
      <c r="F3031" s="1"/>
      <c r="G3031" s="1"/>
      <c r="H3031" s="1"/>
    </row>
    <row r="3032" spans="2:8" ht="12.75">
      <c r="B3032" s="10" t="s">
        <v>19</v>
      </c>
      <c r="C3032" s="22">
        <f>SUM(C3033:C3036)</f>
        <v>13.690000000000001</v>
      </c>
      <c r="D3032" s="22">
        <f>SUM(D3033:D3036)</f>
        <v>2.880164941513086</v>
      </c>
      <c r="E3032" s="1"/>
      <c r="F3032" s="1"/>
      <c r="G3032" s="1"/>
      <c r="H3032" s="1"/>
    </row>
    <row r="3033" spans="2:8" ht="12.75">
      <c r="B3033" s="6" t="s">
        <v>45</v>
      </c>
      <c r="C3033" s="8">
        <f>9.46+1.91+0.96</f>
        <v>12.330000000000002</v>
      </c>
      <c r="D3033" s="8">
        <f>C3033/396.1/12*1000</f>
        <v>2.5940419086089372</v>
      </c>
      <c r="E3033" s="1"/>
      <c r="F3033" s="1"/>
      <c r="G3033" s="1"/>
      <c r="H3033" s="1"/>
    </row>
    <row r="3034" spans="2:8" ht="12.75">
      <c r="B3034" s="6" t="s">
        <v>46</v>
      </c>
      <c r="C3034" s="8"/>
      <c r="D3034" s="8">
        <f>C3034/396.1/12*1000</f>
        <v>0</v>
      </c>
      <c r="E3034" s="1"/>
      <c r="F3034" s="1"/>
      <c r="G3034" s="1"/>
      <c r="H3034" s="1"/>
    </row>
    <row r="3035" spans="2:8" ht="12.75">
      <c r="B3035" s="8" t="s">
        <v>48</v>
      </c>
      <c r="C3035" s="8">
        <v>1.06</v>
      </c>
      <c r="D3035" s="8">
        <f>C3035/396.1/12*1000</f>
        <v>0.22300765799882186</v>
      </c>
      <c r="E3035" s="1"/>
      <c r="F3035" s="1"/>
      <c r="G3035" s="1"/>
      <c r="H3035" s="1"/>
    </row>
    <row r="3036" spans="2:8" ht="12.75">
      <c r="B3036" s="8" t="s">
        <v>50</v>
      </c>
      <c r="C3036" s="8">
        <v>0.30000000000000004</v>
      </c>
      <c r="D3036" s="8">
        <f>C3036/396.1/12*1000</f>
        <v>0.06311537490532694</v>
      </c>
      <c r="E3036" s="1"/>
      <c r="F3036" s="1"/>
      <c r="G3036" s="1"/>
      <c r="H3036" s="1"/>
    </row>
    <row r="3037" spans="2:8" ht="12.75">
      <c r="B3037" s="14" t="s">
        <v>27</v>
      </c>
      <c r="C3037" s="14">
        <f>5.91+0.76</f>
        <v>6.67</v>
      </c>
      <c r="D3037" s="14">
        <f>C3037/396.1/12*1000</f>
        <v>1.4032651687284354</v>
      </c>
      <c r="E3037" s="1"/>
      <c r="F3037" s="1"/>
      <c r="G3037" s="1"/>
      <c r="H3037" s="1"/>
    </row>
    <row r="3038" spans="2:8" ht="12.75">
      <c r="B3038" s="14"/>
      <c r="C3038" s="14"/>
      <c r="D3038" s="8"/>
      <c r="E3038" s="1"/>
      <c r="F3038" s="1"/>
      <c r="G3038" s="1"/>
      <c r="H3038" s="1"/>
    </row>
    <row r="3039" spans="2:8" ht="12.75">
      <c r="B3039" s="14" t="s">
        <v>29</v>
      </c>
      <c r="C3039" s="23">
        <f>C3027+C3028+C3032+C3037+C3038</f>
        <v>44.760000000000005</v>
      </c>
      <c r="D3039" s="23">
        <f>D3027+D3028+D3032+D3037+D3038</f>
        <v>9.416813935874778</v>
      </c>
      <c r="E3039" s="1"/>
      <c r="F3039" s="1"/>
      <c r="G3039" s="1"/>
      <c r="H3039" s="1"/>
    </row>
    <row r="3040" spans="2:8" ht="12.75">
      <c r="B3040" s="8" t="s">
        <v>51</v>
      </c>
      <c r="C3040" s="8">
        <v>4.47</v>
      </c>
      <c r="D3040" s="8">
        <f>C3040/396.1/12*1000</f>
        <v>0.9404190860893713</v>
      </c>
      <c r="E3040" s="1"/>
      <c r="F3040" s="1"/>
      <c r="G3040" s="1"/>
      <c r="H3040" s="1"/>
    </row>
    <row r="3041" spans="2:8" ht="12.75">
      <c r="B3041" s="14" t="s">
        <v>31</v>
      </c>
      <c r="C3041" s="23">
        <f>C3039+C3040</f>
        <v>49.230000000000004</v>
      </c>
      <c r="D3041" s="23">
        <f>D3039+D3040</f>
        <v>10.357233021964149</v>
      </c>
      <c r="E3041" s="1"/>
      <c r="F3041" s="1"/>
      <c r="G3041" s="1"/>
      <c r="H3041" s="1"/>
    </row>
    <row r="3042" spans="2:8" ht="12.75">
      <c r="B3042" s="6" t="s">
        <v>34</v>
      </c>
      <c r="C3042" s="23">
        <f>C3041/C3026/12*1000</f>
        <v>10.357233021964152</v>
      </c>
      <c r="D3042" s="8"/>
      <c r="E3042" s="1"/>
      <c r="F3042" s="1"/>
      <c r="G3042" s="1"/>
      <c r="H3042" s="1"/>
    </row>
    <row r="3043" spans="2:8" ht="12.75">
      <c r="B3043" s="1"/>
      <c r="C3043" s="1"/>
      <c r="D3043" s="1"/>
      <c r="E3043" s="1"/>
      <c r="F3043" s="1"/>
      <c r="G3043" s="1"/>
      <c r="H3043" s="1"/>
    </row>
    <row r="3044" spans="2:8" ht="12.75">
      <c r="B3044" s="1" t="s">
        <v>52</v>
      </c>
      <c r="C3044" s="1"/>
      <c r="D3044" s="1"/>
      <c r="E3044" s="1"/>
      <c r="F3044" s="1"/>
      <c r="G3044" s="1"/>
      <c r="H3044" s="1"/>
    </row>
    <row r="3045" spans="2:8" ht="12.75">
      <c r="B3045" s="1"/>
      <c r="C3045" s="1"/>
      <c r="D3045" s="1"/>
      <c r="E3045" s="1"/>
      <c r="F3045" s="1"/>
      <c r="G3045" s="1"/>
      <c r="H3045" s="1"/>
    </row>
    <row r="3046" spans="2:8" ht="12.75">
      <c r="B3046" s="2" t="s">
        <v>0</v>
      </c>
      <c r="C3046" s="2"/>
      <c r="D3046" s="2"/>
      <c r="E3046" s="1"/>
      <c r="F3046" s="1"/>
      <c r="G3046" s="1"/>
      <c r="H3046" s="1"/>
    </row>
    <row r="3047" spans="2:8" ht="12.75">
      <c r="B3047" s="2" t="s">
        <v>65</v>
      </c>
      <c r="C3047" s="2"/>
      <c r="D3047" s="2"/>
      <c r="E3047" s="1"/>
      <c r="F3047" s="1"/>
      <c r="G3047" s="1"/>
      <c r="H3047" s="1"/>
    </row>
    <row r="3048" spans="2:8" ht="12.75">
      <c r="B3048" s="2" t="s">
        <v>182</v>
      </c>
      <c r="C3048" s="2"/>
      <c r="D3048" s="2"/>
      <c r="E3048" s="1"/>
      <c r="F3048" s="1"/>
      <c r="G3048" s="1"/>
      <c r="H3048" s="1"/>
    </row>
    <row r="3049" spans="2:8" ht="12.75">
      <c r="B3049" s="3"/>
      <c r="C3049" s="3"/>
      <c r="D3049" s="1"/>
      <c r="E3049" s="1"/>
      <c r="F3049" s="1"/>
      <c r="G3049" s="1"/>
      <c r="H3049" s="1"/>
    </row>
    <row r="3050" spans="2:8" ht="12.75">
      <c r="B3050" s="5" t="s">
        <v>4</v>
      </c>
      <c r="C3050" s="31" t="s">
        <v>40</v>
      </c>
      <c r="D3050" s="6" t="s">
        <v>41</v>
      </c>
      <c r="E3050" s="1"/>
      <c r="F3050" s="1"/>
      <c r="G3050" s="1"/>
      <c r="H3050" s="1"/>
    </row>
    <row r="3051" spans="2:8" ht="12.75">
      <c r="B3051" s="6"/>
      <c r="C3051" s="6"/>
      <c r="D3051" s="7"/>
      <c r="E3051" s="1"/>
      <c r="F3051" s="1"/>
      <c r="G3051" s="1"/>
      <c r="H3051" s="1"/>
    </row>
    <row r="3052" spans="2:8" ht="12.75">
      <c r="B3052" s="10" t="s">
        <v>42</v>
      </c>
      <c r="C3052" s="8">
        <v>363.9</v>
      </c>
      <c r="D3052" s="8"/>
      <c r="E3052" s="1"/>
      <c r="F3052" s="1"/>
      <c r="G3052" s="1"/>
      <c r="H3052" s="1"/>
    </row>
    <row r="3053" spans="2:8" ht="12.75">
      <c r="B3053" s="11" t="s">
        <v>13</v>
      </c>
      <c r="C3053" s="32">
        <v>4.34</v>
      </c>
      <c r="D3053" s="14">
        <f>C3053/363.9/12*1000</f>
        <v>0.9938627828157919</v>
      </c>
      <c r="E3053" s="1"/>
      <c r="F3053" s="1"/>
      <c r="G3053" s="1"/>
      <c r="H3053" s="1"/>
    </row>
    <row r="3054" spans="2:8" ht="12.75">
      <c r="B3054" s="15" t="s">
        <v>14</v>
      </c>
      <c r="C3054" s="9">
        <f>SUM(C3055:C3057)</f>
        <v>17.11</v>
      </c>
      <c r="D3054" s="9">
        <f>SUM(D3055:D3057)</f>
        <v>3.9182009709627192</v>
      </c>
      <c r="E3054" s="1"/>
      <c r="F3054" s="1"/>
      <c r="G3054" s="1"/>
      <c r="H3054" s="1"/>
    </row>
    <row r="3055" spans="2:8" ht="12.75">
      <c r="B3055" s="6" t="s">
        <v>43</v>
      </c>
      <c r="C3055" s="8">
        <v>2.84</v>
      </c>
      <c r="D3055" s="8">
        <f>C3055/363.9/12*1000</f>
        <v>0.6503618210130989</v>
      </c>
      <c r="E3055" s="1"/>
      <c r="F3055" s="1"/>
      <c r="G3055" s="1"/>
      <c r="H3055" s="1"/>
    </row>
    <row r="3056" spans="2:8" ht="12.75">
      <c r="B3056" s="17" t="s">
        <v>44</v>
      </c>
      <c r="C3056" s="8">
        <v>3.21</v>
      </c>
      <c r="D3056" s="8">
        <f>C3056/363.9/12*1000</f>
        <v>0.7350920582577632</v>
      </c>
      <c r="E3056" s="1"/>
      <c r="F3056" s="1"/>
      <c r="G3056" s="1"/>
      <c r="H3056" s="1"/>
    </row>
    <row r="3057" spans="2:8" ht="12.75">
      <c r="B3057" s="6" t="s">
        <v>16</v>
      </c>
      <c r="C3057" s="8">
        <f>6.78+0.57+3.71</f>
        <v>11.06</v>
      </c>
      <c r="D3057" s="8">
        <f>C3057/363.9/12*1000</f>
        <v>2.532747091691857</v>
      </c>
      <c r="E3057" s="1"/>
      <c r="F3057" s="1"/>
      <c r="G3057" s="1"/>
      <c r="H3057" s="1"/>
    </row>
    <row r="3058" spans="2:8" ht="12.75">
      <c r="B3058" s="10" t="s">
        <v>19</v>
      </c>
      <c r="C3058" s="22">
        <f>SUM(C3059:C3063)</f>
        <v>1.65</v>
      </c>
      <c r="D3058" s="22">
        <f>SUM(D3059:D3063)</f>
        <v>0.37785105798296237</v>
      </c>
      <c r="E3058" s="1"/>
      <c r="F3058" s="1"/>
      <c r="G3058" s="1"/>
      <c r="H3058" s="1"/>
    </row>
    <row r="3059" spans="2:8" ht="12.75">
      <c r="B3059" s="6" t="s">
        <v>45</v>
      </c>
      <c r="C3059" s="8">
        <v>0</v>
      </c>
      <c r="D3059" s="8">
        <f>C3059/363.9/12*1000</f>
        <v>0</v>
      </c>
      <c r="E3059" s="1"/>
      <c r="F3059" s="1"/>
      <c r="G3059" s="1"/>
      <c r="H3059" s="1"/>
    </row>
    <row r="3060" spans="2:8" ht="12.75">
      <c r="B3060" s="6" t="s">
        <v>46</v>
      </c>
      <c r="C3060" s="8"/>
      <c r="D3060" s="8">
        <f>C3060/363.9/12*1000</f>
        <v>0</v>
      </c>
      <c r="E3060" s="1"/>
      <c r="F3060" s="1"/>
      <c r="G3060" s="1"/>
      <c r="H3060" s="1"/>
    </row>
    <row r="3061" spans="2:8" ht="12.75">
      <c r="B3061" s="8" t="s">
        <v>48</v>
      </c>
      <c r="C3061" s="8">
        <v>1.06</v>
      </c>
      <c r="D3061" s="8">
        <f>C3061/363.9/12*1000</f>
        <v>0.2427406796739031</v>
      </c>
      <c r="E3061" s="1"/>
      <c r="F3061" s="1"/>
      <c r="G3061" s="1"/>
      <c r="H3061" s="1"/>
    </row>
    <row r="3062" spans="2:8" ht="12.75">
      <c r="B3062" s="8" t="s">
        <v>67</v>
      </c>
      <c r="C3062" s="8">
        <v>0.59</v>
      </c>
      <c r="D3062" s="8">
        <f>C3062/363.9/12*1000</f>
        <v>0.13511037830905925</v>
      </c>
      <c r="E3062" s="1"/>
      <c r="F3062" s="1"/>
      <c r="G3062" s="1"/>
      <c r="H3062" s="1"/>
    </row>
    <row r="3063" spans="2:8" ht="12.75">
      <c r="B3063" s="8" t="s">
        <v>50</v>
      </c>
      <c r="C3063" s="8">
        <v>0</v>
      </c>
      <c r="D3063" s="8">
        <f>C3063/363.9/12*1000</f>
        <v>0</v>
      </c>
      <c r="E3063" s="1"/>
      <c r="F3063" s="1"/>
      <c r="G3063" s="1"/>
      <c r="H3063" s="1"/>
    </row>
    <row r="3064" spans="2:8" ht="12.75">
      <c r="B3064" s="14" t="s">
        <v>27</v>
      </c>
      <c r="C3064" s="14">
        <f>5.43+0.69</f>
        <v>6.12</v>
      </c>
      <c r="D3064" s="14">
        <f>C3064/363.9/12*1000</f>
        <v>1.401483924154988</v>
      </c>
      <c r="E3064" s="1"/>
      <c r="F3064" s="1"/>
      <c r="G3064" s="1"/>
      <c r="H3064" s="1"/>
    </row>
    <row r="3065" spans="2:8" ht="12.75">
      <c r="B3065" s="14"/>
      <c r="C3065" s="14"/>
      <c r="D3065" s="8"/>
      <c r="E3065" s="1"/>
      <c r="F3065" s="1"/>
      <c r="G3065" s="1"/>
      <c r="H3065" s="1"/>
    </row>
    <row r="3066" spans="2:8" ht="12.75">
      <c r="B3066" s="14" t="s">
        <v>29</v>
      </c>
      <c r="C3066" s="23">
        <f>C3053+C3054+C3058+C3064+C3065</f>
        <v>29.22</v>
      </c>
      <c r="D3066" s="23">
        <f>D3053+D3054+D3058+D3064+D3065</f>
        <v>6.6913987359164615</v>
      </c>
      <c r="E3066" s="1"/>
      <c r="F3066" s="1"/>
      <c r="G3066" s="1"/>
      <c r="H3066" s="1"/>
    </row>
    <row r="3067" spans="2:8" ht="12.75">
      <c r="B3067" s="8" t="s">
        <v>51</v>
      </c>
      <c r="C3067" s="8">
        <v>2.92</v>
      </c>
      <c r="D3067" s="8">
        <f>C3067/363.9/12*1000</f>
        <v>0.6686818723092425</v>
      </c>
      <c r="E3067" s="1"/>
      <c r="F3067" s="1"/>
      <c r="G3067" s="1"/>
      <c r="H3067" s="1"/>
    </row>
    <row r="3068" spans="2:8" ht="12.75">
      <c r="B3068" s="14" t="s">
        <v>31</v>
      </c>
      <c r="C3068" s="23">
        <f>C3066+C3067</f>
        <v>32.14</v>
      </c>
      <c r="D3068" s="23">
        <f>D3066+D3067</f>
        <v>7.360080608225704</v>
      </c>
      <c r="E3068" s="1"/>
      <c r="F3068" s="1"/>
      <c r="G3068" s="1"/>
      <c r="H3068" s="1"/>
    </row>
    <row r="3069" spans="2:8" ht="12.75">
      <c r="B3069" s="6" t="s">
        <v>34</v>
      </c>
      <c r="C3069" s="23">
        <f>C3068/C3052/12*1000</f>
        <v>7.3600806082257035</v>
      </c>
      <c r="D3069" s="8"/>
      <c r="E3069" s="1"/>
      <c r="F3069" s="1"/>
      <c r="G3069" s="1"/>
      <c r="H3069" s="1"/>
    </row>
    <row r="3070" spans="2:8" ht="12.75">
      <c r="B3070" s="1"/>
      <c r="C3070" s="1"/>
      <c r="D3070" s="1"/>
      <c r="E3070" s="1"/>
      <c r="F3070" s="1"/>
      <c r="G3070" s="1"/>
      <c r="H3070" s="1"/>
    </row>
    <row r="3071" spans="2:8" ht="12.75">
      <c r="B3071" s="1" t="s">
        <v>52</v>
      </c>
      <c r="C3071" s="1"/>
      <c r="D3071" s="1"/>
      <c r="E3071" s="1"/>
      <c r="F3071" s="1"/>
      <c r="G3071" s="1"/>
      <c r="H3071" s="1"/>
    </row>
    <row r="3072" spans="2:8" ht="12.75">
      <c r="B3072" s="1"/>
      <c r="C3072" s="1"/>
      <c r="D3072" s="1"/>
      <c r="E3072" s="1"/>
      <c r="F3072" s="1"/>
      <c r="G3072" s="1"/>
      <c r="H3072" s="1"/>
    </row>
    <row r="3073" spans="2:8" ht="12.75">
      <c r="B3073" s="2" t="s">
        <v>0</v>
      </c>
      <c r="C3073" s="2"/>
      <c r="D3073" s="2"/>
      <c r="E3073" s="2"/>
      <c r="F3073" s="2"/>
      <c r="G3073" s="2"/>
      <c r="H3073" s="2"/>
    </row>
    <row r="3074" spans="2:8" ht="12.75">
      <c r="B3074" s="2" t="s">
        <v>65</v>
      </c>
      <c r="C3074" s="2"/>
      <c r="D3074" s="2"/>
      <c r="E3074" s="2"/>
      <c r="F3074" s="2"/>
      <c r="G3074" s="2"/>
      <c r="H3074" s="2"/>
    </row>
    <row r="3075" spans="2:8" ht="12.75">
      <c r="B3075" s="2" t="s">
        <v>183</v>
      </c>
      <c r="C3075" s="2"/>
      <c r="D3075" s="2"/>
      <c r="E3075" s="2"/>
      <c r="F3075" s="2"/>
      <c r="G3075" s="2"/>
      <c r="H3075" s="2"/>
    </row>
    <row r="3076" spans="2:8" ht="12.75">
      <c r="B3076" s="3"/>
      <c r="C3076" s="3"/>
      <c r="D3076" s="1"/>
      <c r="E3076" s="1"/>
      <c r="F3076" s="1"/>
      <c r="G3076" s="1"/>
      <c r="H3076" s="1"/>
    </row>
    <row r="3077" spans="2:8" ht="12.75">
      <c r="B3077" s="5" t="s">
        <v>4</v>
      </c>
      <c r="C3077" s="31" t="s">
        <v>40</v>
      </c>
      <c r="D3077" s="6" t="s">
        <v>41</v>
      </c>
      <c r="E3077" s="6" t="s">
        <v>67</v>
      </c>
      <c r="F3077" s="6" t="s">
        <v>184</v>
      </c>
      <c r="G3077" s="6" t="s">
        <v>41</v>
      </c>
      <c r="H3077" s="6" t="s">
        <v>68</v>
      </c>
    </row>
    <row r="3078" spans="2:8" ht="12.75">
      <c r="B3078" s="6"/>
      <c r="C3078" s="6"/>
      <c r="D3078" s="7"/>
      <c r="E3078" s="7"/>
      <c r="F3078" s="7"/>
      <c r="G3078" s="7"/>
      <c r="H3078" s="7"/>
    </row>
    <row r="3079" spans="2:8" ht="12.75">
      <c r="B3079" s="10" t="s">
        <v>42</v>
      </c>
      <c r="C3079" s="8">
        <v>370.6</v>
      </c>
      <c r="D3079" s="8"/>
      <c r="E3079" s="7"/>
      <c r="F3079" s="7"/>
      <c r="G3079" s="7"/>
      <c r="H3079" s="7"/>
    </row>
    <row r="3080" spans="2:8" ht="12.75">
      <c r="B3080" s="11" t="s">
        <v>13</v>
      </c>
      <c r="C3080" s="32">
        <v>10.59</v>
      </c>
      <c r="D3080" s="14">
        <f>C3080/370.6/12*1000</f>
        <v>2.3812736103615757</v>
      </c>
      <c r="E3080" s="14"/>
      <c r="F3080" s="14">
        <f>C3080+E3080</f>
        <v>10.59</v>
      </c>
      <c r="G3080" s="14"/>
      <c r="H3080" s="14">
        <f>D3080+G3080</f>
        <v>2.3812736103615757</v>
      </c>
    </row>
    <row r="3081" spans="2:8" ht="12.75">
      <c r="B3081" s="15" t="s">
        <v>14</v>
      </c>
      <c r="C3081" s="9">
        <f>SUM(C3082:C3084)</f>
        <v>11.18</v>
      </c>
      <c r="D3081" s="9">
        <f>SUM(D3082:D3084)</f>
        <v>2.513941356359057</v>
      </c>
      <c r="E3081" s="8"/>
      <c r="F3081" s="14">
        <f>C3081+E3081</f>
        <v>11.18</v>
      </c>
      <c r="G3081" s="8"/>
      <c r="H3081" s="8">
        <f>D3081+G3081</f>
        <v>2.513941356359057</v>
      </c>
    </row>
    <row r="3082" spans="2:8" ht="12.75">
      <c r="B3082" s="6" t="s">
        <v>43</v>
      </c>
      <c r="C3082" s="8">
        <v>2.89</v>
      </c>
      <c r="D3082" s="8">
        <f>C3082/370.6/12*1000</f>
        <v>0.6498470948012233</v>
      </c>
      <c r="E3082" s="8"/>
      <c r="F3082" s="14">
        <f>C3082+E3082</f>
        <v>2.89</v>
      </c>
      <c r="G3082" s="8"/>
      <c r="H3082" s="8">
        <f>D3082+G3082</f>
        <v>0.6498470948012233</v>
      </c>
    </row>
    <row r="3083" spans="2:8" ht="12.75">
      <c r="B3083" s="17" t="s">
        <v>44</v>
      </c>
      <c r="C3083" s="8">
        <v>3.27</v>
      </c>
      <c r="D3083" s="8">
        <f>C3083/370.6/12*1000</f>
        <v>0.7352941176470588</v>
      </c>
      <c r="E3083" s="8"/>
      <c r="F3083" s="14">
        <f>C3083+E3083</f>
        <v>3.27</v>
      </c>
      <c r="G3083" s="8"/>
      <c r="H3083" s="8">
        <f>D3083+G3083</f>
        <v>0.7352941176470588</v>
      </c>
    </row>
    <row r="3084" spans="2:8" ht="12.75">
      <c r="B3084" s="6" t="s">
        <v>16</v>
      </c>
      <c r="C3084" s="8">
        <f>4.43+0.59</f>
        <v>5.02</v>
      </c>
      <c r="D3084" s="8">
        <f>C3084/370.6/12*1000</f>
        <v>1.128800143910775</v>
      </c>
      <c r="E3084" s="8"/>
      <c r="F3084" s="14">
        <f>C3084+E3084</f>
        <v>5.02</v>
      </c>
      <c r="G3084" s="8"/>
      <c r="H3084" s="8">
        <f>D3084+G3084</f>
        <v>1.128800143910775</v>
      </c>
    </row>
    <row r="3085" spans="2:8" ht="12.75">
      <c r="B3085" s="10" t="s">
        <v>19</v>
      </c>
      <c r="C3085" s="22">
        <f>SUM(C3086:C3090)</f>
        <v>1.26</v>
      </c>
      <c r="D3085" s="22">
        <f>SUM(D3086:D3090)</f>
        <v>0.2833243389098759</v>
      </c>
      <c r="E3085" s="22">
        <f>SUM(E3086:E3090)</f>
        <v>41.54</v>
      </c>
      <c r="F3085" s="14">
        <f>C3085+E3085</f>
        <v>42.8</v>
      </c>
      <c r="G3085" s="22">
        <f>SUM(G3086:G3090)</f>
        <v>9.340708760568447</v>
      </c>
      <c r="H3085" s="8">
        <f>D3085+G3085</f>
        <v>9.624033099478323</v>
      </c>
    </row>
    <row r="3086" spans="2:8" ht="12.75">
      <c r="B3086" s="6" t="s">
        <v>45</v>
      </c>
      <c r="C3086" s="8"/>
      <c r="D3086" s="8">
        <f>C3086/370.6/12*1000</f>
        <v>0</v>
      </c>
      <c r="E3086" s="8"/>
      <c r="F3086" s="14">
        <f>C3086+E3086</f>
        <v>0</v>
      </c>
      <c r="G3086" s="8"/>
      <c r="H3086" s="8">
        <f>D3086+G3086</f>
        <v>0</v>
      </c>
    </row>
    <row r="3087" spans="2:8" ht="12.75">
      <c r="B3087" s="6" t="s">
        <v>46</v>
      </c>
      <c r="C3087" s="8">
        <v>0</v>
      </c>
      <c r="D3087" s="8">
        <f>C3087/370.6/12*1000</f>
        <v>0</v>
      </c>
      <c r="E3087" s="8"/>
      <c r="F3087" s="14">
        <f>C3087+E3087</f>
        <v>0</v>
      </c>
      <c r="G3087" s="8"/>
      <c r="H3087" s="8">
        <f>D3087+G3087</f>
        <v>0</v>
      </c>
    </row>
    <row r="3088" spans="2:8" ht="12.75">
      <c r="B3088" s="8" t="s">
        <v>48</v>
      </c>
      <c r="C3088" s="8">
        <v>1.06</v>
      </c>
      <c r="D3088" s="8">
        <f>C3088/370.6/12*1000</f>
        <v>0.238352221622594</v>
      </c>
      <c r="E3088" s="8"/>
      <c r="F3088" s="14">
        <f>C3088+E3088</f>
        <v>1.06</v>
      </c>
      <c r="G3088" s="8"/>
      <c r="H3088" s="8">
        <f>D3088+G3088</f>
        <v>0.238352221622594</v>
      </c>
    </row>
    <row r="3089" spans="2:8" ht="12.75">
      <c r="B3089" s="8" t="s">
        <v>67</v>
      </c>
      <c r="C3089" s="8"/>
      <c r="D3089" s="8">
        <f>C3089/370.6/12*1000</f>
        <v>0</v>
      </c>
      <c r="E3089" s="8">
        <v>41.54</v>
      </c>
      <c r="F3089" s="14">
        <f>C3089+E3089</f>
        <v>41.54</v>
      </c>
      <c r="G3089" s="8">
        <f>E3089/C3079/12*1000</f>
        <v>9.340708760568447</v>
      </c>
      <c r="H3089" s="8">
        <f>D3089+G3089</f>
        <v>9.340708760568447</v>
      </c>
    </row>
    <row r="3090" spans="2:8" ht="12.75">
      <c r="B3090" s="8" t="s">
        <v>50</v>
      </c>
      <c r="C3090" s="8">
        <v>0.2</v>
      </c>
      <c r="D3090" s="8">
        <f>C3090/370.6/12*1000</f>
        <v>0.044972117287281885</v>
      </c>
      <c r="E3090" s="8"/>
      <c r="F3090" s="14">
        <f>C3090+E3090</f>
        <v>0.2</v>
      </c>
      <c r="G3090" s="8"/>
      <c r="H3090" s="8">
        <f>D3090+G3090</f>
        <v>0.044972117287281885</v>
      </c>
    </row>
    <row r="3091" spans="2:8" ht="12.75">
      <c r="B3091" s="14" t="s">
        <v>27</v>
      </c>
      <c r="C3091" s="14">
        <f>5.52+1.2</f>
        <v>6.72</v>
      </c>
      <c r="D3091" s="14">
        <f>C3091/370.6/12*1000</f>
        <v>1.5110631408526713</v>
      </c>
      <c r="E3091" s="8"/>
      <c r="F3091" s="14">
        <f>C3091+E3091</f>
        <v>6.72</v>
      </c>
      <c r="G3091" s="8"/>
      <c r="H3091" s="8">
        <f>D3091+G3091</f>
        <v>1.5110631408526713</v>
      </c>
    </row>
    <row r="3092" spans="2:8" ht="12.75">
      <c r="B3092" s="14"/>
      <c r="C3092" s="14"/>
      <c r="D3092" s="8"/>
      <c r="E3092" s="8"/>
      <c r="F3092" s="14"/>
      <c r="G3092" s="8"/>
      <c r="H3092" s="8">
        <f>D3092+G3092</f>
        <v>0</v>
      </c>
    </row>
    <row r="3093" spans="2:8" ht="12.75">
      <c r="B3093" s="14" t="s">
        <v>29</v>
      </c>
      <c r="C3093" s="23">
        <f>C3080+C3081+C3085+C3091+C3092</f>
        <v>29.75</v>
      </c>
      <c r="D3093" s="23">
        <f>D3080+D3081+D3085+D3091+D3092</f>
        <v>6.68960244648318</v>
      </c>
      <c r="E3093" s="23">
        <f>E3080+E3081+E3085+E3091+E3092</f>
        <v>41.54</v>
      </c>
      <c r="F3093" s="14">
        <f>C3093+E3093</f>
        <v>71.28999999999999</v>
      </c>
      <c r="G3093" s="23">
        <f>G3080+G3081+G3085+G3091+G3092</f>
        <v>9.340708760568447</v>
      </c>
      <c r="H3093" s="8">
        <f>D3093+G3093</f>
        <v>16.030311207051625</v>
      </c>
    </row>
    <row r="3094" spans="2:8" ht="12.75">
      <c r="B3094" s="8" t="s">
        <v>51</v>
      </c>
      <c r="C3094" s="8">
        <v>2.97</v>
      </c>
      <c r="D3094" s="8">
        <f>C3094/370.6/12*1000</f>
        <v>0.6678359417161359</v>
      </c>
      <c r="E3094" s="8">
        <v>4.15</v>
      </c>
      <c r="F3094" s="14">
        <f>C3094+E3094</f>
        <v>7.120000000000001</v>
      </c>
      <c r="G3094" s="8">
        <v>0.93</v>
      </c>
      <c r="H3094" s="8">
        <f>D3094+G3094</f>
        <v>1.597835941716136</v>
      </c>
    </row>
    <row r="3095" spans="2:8" ht="12.75">
      <c r="B3095" s="14" t="s">
        <v>31</v>
      </c>
      <c r="C3095" s="23">
        <f>C3093+C3094</f>
        <v>32.72</v>
      </c>
      <c r="D3095" s="23">
        <f>D3093+D3094</f>
        <v>7.357438388199316</v>
      </c>
      <c r="E3095" s="23">
        <f>E3093+E3094</f>
        <v>45.69</v>
      </c>
      <c r="F3095" s="23">
        <f>F3093+F3094</f>
        <v>78.41</v>
      </c>
      <c r="G3095" s="23">
        <f>G3093+G3094</f>
        <v>10.270708760568446</v>
      </c>
      <c r="H3095" s="8">
        <f>D3095+G3095</f>
        <v>17.628147148767763</v>
      </c>
    </row>
    <row r="3096" spans="2:8" ht="12.75">
      <c r="B3096" s="6" t="s">
        <v>34</v>
      </c>
      <c r="C3096" s="23">
        <f>C3095/C3079/12*1000</f>
        <v>7.357438388199316</v>
      </c>
      <c r="D3096" s="8"/>
      <c r="E3096" s="8">
        <f>E3095/C3079/12*1000</f>
        <v>10.273880194279545</v>
      </c>
      <c r="F3096" s="8"/>
      <c r="G3096" s="8"/>
      <c r="H3096" s="8">
        <f>H3095</f>
        <v>17.628147148767763</v>
      </c>
    </row>
    <row r="3097" spans="2:8" ht="12.75">
      <c r="B3097" s="1"/>
      <c r="C3097" s="1"/>
      <c r="D3097" s="1"/>
      <c r="E3097" s="1"/>
      <c r="F3097" s="1"/>
      <c r="G3097" s="1"/>
      <c r="H3097" s="1"/>
    </row>
    <row r="3098" spans="2:8" ht="12.75">
      <c r="B3098" s="36" t="s">
        <v>52</v>
      </c>
      <c r="C3098" s="36"/>
      <c r="D3098" s="36"/>
      <c r="E3098" s="36"/>
      <c r="F3098" s="36"/>
      <c r="G3098" s="36"/>
      <c r="H3098" s="36"/>
    </row>
    <row r="3099" spans="2:8" ht="12.75">
      <c r="B3099" s="1"/>
      <c r="C3099" s="1"/>
      <c r="D3099" s="1"/>
      <c r="E3099" s="1"/>
      <c r="F3099" s="1"/>
      <c r="G3099" s="1"/>
      <c r="H3099" s="1"/>
    </row>
    <row r="3100" spans="2:8" ht="12.75">
      <c r="B3100" s="2" t="s">
        <v>0</v>
      </c>
      <c r="C3100" s="2"/>
      <c r="D3100" s="2"/>
      <c r="E3100" s="1"/>
      <c r="F3100" s="1"/>
      <c r="G3100" s="1"/>
      <c r="H3100" s="1"/>
    </row>
    <row r="3101" spans="2:8" ht="12.75">
      <c r="B3101" s="2" t="s">
        <v>65</v>
      </c>
      <c r="C3101" s="2"/>
      <c r="D3101" s="2"/>
      <c r="E3101" s="1"/>
      <c r="F3101" s="1"/>
      <c r="G3101" s="1"/>
      <c r="H3101" s="1"/>
    </row>
    <row r="3102" spans="2:8" ht="12.75">
      <c r="B3102" s="2" t="s">
        <v>185</v>
      </c>
      <c r="C3102" s="2"/>
      <c r="D3102" s="2"/>
      <c r="E3102" s="1"/>
      <c r="F3102" s="1"/>
      <c r="G3102" s="1"/>
      <c r="H3102" s="1"/>
    </row>
    <row r="3103" spans="2:8" ht="12.75">
      <c r="B3103" s="3"/>
      <c r="C3103" s="3"/>
      <c r="D3103" s="1"/>
      <c r="E3103" s="1"/>
      <c r="F3103" s="1"/>
      <c r="G3103" s="1"/>
      <c r="H3103" s="1"/>
    </row>
    <row r="3104" spans="2:8" ht="12.75">
      <c r="B3104" s="5" t="s">
        <v>4</v>
      </c>
      <c r="C3104" s="31" t="s">
        <v>40</v>
      </c>
      <c r="D3104" s="6" t="s">
        <v>41</v>
      </c>
      <c r="E3104" s="1"/>
      <c r="F3104" s="1"/>
      <c r="G3104" s="1"/>
      <c r="H3104" s="1"/>
    </row>
    <row r="3105" spans="2:8" ht="12.75">
      <c r="B3105" s="6"/>
      <c r="C3105" s="6"/>
      <c r="D3105" s="7"/>
      <c r="E3105" s="1"/>
      <c r="F3105" s="1"/>
      <c r="G3105" s="1"/>
      <c r="H3105" s="1"/>
    </row>
    <row r="3106" spans="2:8" ht="12.75">
      <c r="B3106" s="10" t="s">
        <v>42</v>
      </c>
      <c r="C3106" s="8">
        <v>354.3</v>
      </c>
      <c r="D3106" s="8"/>
      <c r="E3106" s="1"/>
      <c r="F3106" s="1"/>
      <c r="G3106" s="1"/>
      <c r="H3106" s="1"/>
    </row>
    <row r="3107" spans="2:8" ht="12.75">
      <c r="B3107" s="11" t="s">
        <v>13</v>
      </c>
      <c r="C3107" s="32">
        <v>5.53</v>
      </c>
      <c r="D3107" s="14">
        <f>C3107/354.3/12*1000</f>
        <v>1.3006868002634302</v>
      </c>
      <c r="E3107" s="1"/>
      <c r="F3107" s="1"/>
      <c r="G3107" s="1"/>
      <c r="H3107" s="1"/>
    </row>
    <row r="3108" spans="2:8" ht="12.75">
      <c r="B3108" s="15" t="s">
        <v>14</v>
      </c>
      <c r="C3108" s="9">
        <f>SUM(C3109:C3111)</f>
        <v>23.239999999999995</v>
      </c>
      <c r="D3108" s="9">
        <f>SUM(D3109:D3111)</f>
        <v>5.466177439081757</v>
      </c>
      <c r="E3108" s="1"/>
      <c r="F3108" s="1"/>
      <c r="G3108" s="1"/>
      <c r="H3108" s="1"/>
    </row>
    <row r="3109" spans="2:8" ht="12.75">
      <c r="B3109" s="6" t="s">
        <v>43</v>
      </c>
      <c r="C3109" s="8">
        <v>2.76</v>
      </c>
      <c r="D3109" s="8">
        <f>C3109/354.3/12*1000</f>
        <v>0.6491673722833756</v>
      </c>
      <c r="E3109" s="1"/>
      <c r="F3109" s="1"/>
      <c r="G3109" s="1"/>
      <c r="H3109" s="1"/>
    </row>
    <row r="3110" spans="2:8" ht="12.75">
      <c r="B3110" s="17" t="s">
        <v>44</v>
      </c>
      <c r="C3110" s="8">
        <v>3.13</v>
      </c>
      <c r="D3110" s="8">
        <f>C3110/354.3/12*1000</f>
        <v>0.7361934330604949</v>
      </c>
      <c r="E3110" s="1"/>
      <c r="F3110" s="1"/>
      <c r="G3110" s="1"/>
      <c r="H3110" s="1"/>
    </row>
    <row r="3111" spans="2:8" ht="12.75">
      <c r="B3111" s="6" t="s">
        <v>16</v>
      </c>
      <c r="C3111" s="8">
        <f>16.79+0.56</f>
        <v>17.349999999999998</v>
      </c>
      <c r="D3111" s="8">
        <f>C3111/354.3/12*1000</f>
        <v>4.080816633737886</v>
      </c>
      <c r="E3111" s="1"/>
      <c r="F3111" s="1"/>
      <c r="G3111" s="1"/>
      <c r="H3111" s="1"/>
    </row>
    <row r="3112" spans="2:8" ht="12.75">
      <c r="B3112" s="10" t="s">
        <v>19</v>
      </c>
      <c r="C3112" s="22">
        <f>SUM(C3113:C3117)</f>
        <v>2.54</v>
      </c>
      <c r="D3112" s="22">
        <f>SUM(D3113:D3117)</f>
        <v>0.5974221469564398</v>
      </c>
      <c r="E3112" s="1"/>
      <c r="F3112" s="1"/>
      <c r="G3112" s="1"/>
      <c r="H3112" s="1"/>
    </row>
    <row r="3113" spans="2:8" ht="12.75">
      <c r="B3113" s="6" t="s">
        <v>45</v>
      </c>
      <c r="C3113" s="8">
        <v>0</v>
      </c>
      <c r="D3113" s="8">
        <f>C3113/354.3/12*1000</f>
        <v>0</v>
      </c>
      <c r="E3113" s="1"/>
      <c r="F3113" s="1"/>
      <c r="G3113" s="1"/>
      <c r="H3113" s="1"/>
    </row>
    <row r="3114" spans="2:8" ht="12.75">
      <c r="B3114" s="6" t="s">
        <v>46</v>
      </c>
      <c r="C3114" s="8">
        <v>0</v>
      </c>
      <c r="D3114" s="8">
        <f>C3114/354.3/12*1000</f>
        <v>0</v>
      </c>
      <c r="E3114" s="1"/>
      <c r="F3114" s="1"/>
      <c r="G3114" s="1"/>
      <c r="H3114" s="1"/>
    </row>
    <row r="3115" spans="2:8" ht="12.75">
      <c r="B3115" s="8" t="s">
        <v>48</v>
      </c>
      <c r="C3115" s="8">
        <v>1.06</v>
      </c>
      <c r="D3115" s="8">
        <f>C3115/354.3/12*1000</f>
        <v>0.2493179038479631</v>
      </c>
      <c r="E3115" s="1"/>
      <c r="F3115" s="1"/>
      <c r="G3115" s="1"/>
      <c r="H3115" s="1"/>
    </row>
    <row r="3116" spans="2:8" ht="12.75">
      <c r="B3116" s="8" t="s">
        <v>67</v>
      </c>
      <c r="C3116" s="8">
        <v>1.18</v>
      </c>
      <c r="D3116" s="8">
        <f>C3116/354.3/12*1000</f>
        <v>0.27754257220810985</v>
      </c>
      <c r="E3116" s="1"/>
      <c r="F3116" s="1"/>
      <c r="G3116" s="1"/>
      <c r="H3116" s="1"/>
    </row>
    <row r="3117" spans="2:8" ht="12.75">
      <c r="B3117" s="8" t="s">
        <v>50</v>
      </c>
      <c r="C3117" s="8">
        <v>0.30000000000000004</v>
      </c>
      <c r="D3117" s="8">
        <f>C3117/354.3/12*1000</f>
        <v>0.07056167090036693</v>
      </c>
      <c r="E3117" s="1"/>
      <c r="F3117" s="1"/>
      <c r="G3117" s="1"/>
      <c r="H3117" s="1"/>
    </row>
    <row r="3118" spans="2:8" ht="12.75">
      <c r="B3118" s="14" t="s">
        <v>27</v>
      </c>
      <c r="C3118" s="14">
        <f>5.29+0.63</f>
        <v>5.92</v>
      </c>
      <c r="D3118" s="14">
        <f>C3118/354.3/12*1000</f>
        <v>1.392416972433907</v>
      </c>
      <c r="E3118" s="1"/>
      <c r="F3118" s="1"/>
      <c r="G3118" s="1"/>
      <c r="H3118" s="1"/>
    </row>
    <row r="3119" spans="2:8" ht="12.75">
      <c r="B3119" s="14"/>
      <c r="C3119" s="14"/>
      <c r="D3119" s="8"/>
      <c r="E3119" s="1"/>
      <c r="F3119" s="1"/>
      <c r="G3119" s="1"/>
      <c r="H3119" s="1"/>
    </row>
    <row r="3120" spans="2:8" ht="12.75">
      <c r="B3120" s="14" t="s">
        <v>29</v>
      </c>
      <c r="C3120" s="23">
        <f>C3107+C3108+C3112+C3118+C3119</f>
        <v>37.23</v>
      </c>
      <c r="D3120" s="23">
        <f>D3107+D3108+D3112+D3118+D3119</f>
        <v>8.756703358735534</v>
      </c>
      <c r="E3120" s="1"/>
      <c r="F3120" s="1"/>
      <c r="G3120" s="1"/>
      <c r="H3120" s="1"/>
    </row>
    <row r="3121" spans="2:8" ht="12.75">
      <c r="B3121" s="8" t="s">
        <v>51</v>
      </c>
      <c r="C3121" s="8">
        <v>3.72</v>
      </c>
      <c r="D3121" s="8">
        <f>C3121/354.3/12*1000</f>
        <v>0.8749647191645499</v>
      </c>
      <c r="E3121" s="1"/>
      <c r="F3121" s="1"/>
      <c r="G3121" s="1"/>
      <c r="H3121" s="1"/>
    </row>
    <row r="3122" spans="2:8" ht="12.75">
      <c r="B3122" s="14" t="s">
        <v>31</v>
      </c>
      <c r="C3122" s="23">
        <f>C3120+C3121</f>
        <v>40.949999999999996</v>
      </c>
      <c r="D3122" s="23">
        <f>D3120+D3121</f>
        <v>9.631668077900084</v>
      </c>
      <c r="E3122" s="1"/>
      <c r="F3122" s="1"/>
      <c r="G3122" s="1"/>
      <c r="H3122" s="1"/>
    </row>
    <row r="3123" spans="2:8" ht="12.75">
      <c r="B3123" s="6" t="s">
        <v>34</v>
      </c>
      <c r="C3123" s="23">
        <f>C3122/C3106/12*1000</f>
        <v>9.631668077900084</v>
      </c>
      <c r="D3123" s="8"/>
      <c r="E3123" s="1"/>
      <c r="F3123" s="1"/>
      <c r="G3123" s="1"/>
      <c r="H3123" s="1"/>
    </row>
    <row r="3124" spans="2:8" ht="12.75">
      <c r="B3124" s="1"/>
      <c r="C3124" s="1"/>
      <c r="D3124" s="1"/>
      <c r="E3124" s="1"/>
      <c r="F3124" s="1"/>
      <c r="G3124" s="1"/>
      <c r="H3124" s="1"/>
    </row>
    <row r="3125" spans="2:8" ht="12.75">
      <c r="B3125" s="1" t="s">
        <v>52</v>
      </c>
      <c r="C3125" s="1"/>
      <c r="D3125" s="1"/>
      <c r="E3125" s="1"/>
      <c r="F3125" s="1"/>
      <c r="G3125" s="1"/>
      <c r="H3125" s="1"/>
    </row>
    <row r="3126" spans="2:8" ht="12.75">
      <c r="B3126" s="1"/>
      <c r="C3126" s="1"/>
      <c r="D3126" s="1"/>
      <c r="E3126" s="1"/>
      <c r="F3126" s="1"/>
      <c r="G3126" s="1"/>
      <c r="H3126" s="1"/>
    </row>
    <row r="3127" spans="2:8" ht="12.75">
      <c r="B3127" s="1"/>
      <c r="C3127" s="1"/>
      <c r="D3127" s="1"/>
      <c r="E3127" s="1"/>
      <c r="F3127" s="1"/>
      <c r="G3127" s="1"/>
      <c r="H3127" s="1"/>
    </row>
    <row r="3128" spans="2:8" ht="12.75">
      <c r="B3128" s="2" t="s">
        <v>0</v>
      </c>
      <c r="C3128" s="2"/>
      <c r="D3128" s="2"/>
      <c r="E3128" s="1"/>
      <c r="F3128" s="1"/>
      <c r="G3128" s="1"/>
      <c r="H3128" s="1"/>
    </row>
    <row r="3129" spans="2:8" ht="12.75">
      <c r="B3129" s="2" t="s">
        <v>65</v>
      </c>
      <c r="C3129" s="2"/>
      <c r="D3129" s="2"/>
      <c r="E3129" s="1"/>
      <c r="F3129" s="1"/>
      <c r="G3129" s="1"/>
      <c r="H3129" s="1"/>
    </row>
    <row r="3130" spans="2:8" ht="12.75">
      <c r="B3130" s="2" t="s">
        <v>186</v>
      </c>
      <c r="C3130" s="2"/>
      <c r="D3130" s="2"/>
      <c r="E3130" s="1"/>
      <c r="F3130" s="1"/>
      <c r="G3130" s="1"/>
      <c r="H3130" s="1"/>
    </row>
    <row r="3131" spans="2:8" ht="12.75">
      <c r="B3131" s="3"/>
      <c r="C3131" s="3"/>
      <c r="D3131" s="1"/>
      <c r="E3131" s="1"/>
      <c r="F3131" s="1"/>
      <c r="G3131" s="1"/>
      <c r="H3131" s="1"/>
    </row>
    <row r="3132" spans="2:8" ht="12.75">
      <c r="B3132" s="5" t="s">
        <v>4</v>
      </c>
      <c r="C3132" s="31" t="s">
        <v>40</v>
      </c>
      <c r="D3132" s="6" t="s">
        <v>41</v>
      </c>
      <c r="E3132" s="1"/>
      <c r="F3132" s="1"/>
      <c r="G3132" s="1"/>
      <c r="H3132" s="1"/>
    </row>
    <row r="3133" spans="2:8" ht="12.75">
      <c r="B3133" s="6"/>
      <c r="C3133" s="6"/>
      <c r="D3133" s="7"/>
      <c r="E3133" s="1"/>
      <c r="F3133" s="1"/>
      <c r="G3133" s="1"/>
      <c r="H3133" s="1"/>
    </row>
    <row r="3134" spans="2:8" ht="12.75">
      <c r="B3134" s="10" t="s">
        <v>42</v>
      </c>
      <c r="C3134" s="8">
        <v>613.3</v>
      </c>
      <c r="D3134" s="8"/>
      <c r="E3134" s="1"/>
      <c r="F3134" s="1"/>
      <c r="G3134" s="1"/>
      <c r="H3134" s="1"/>
    </row>
    <row r="3135" spans="2:8" ht="12.75">
      <c r="B3135" s="11" t="s">
        <v>13</v>
      </c>
      <c r="C3135" s="32">
        <v>12.58</v>
      </c>
      <c r="D3135" s="14">
        <f>C3135/613.3/12*1000</f>
        <v>1.7093320289146148</v>
      </c>
      <c r="E3135" s="1"/>
      <c r="F3135" s="1"/>
      <c r="G3135" s="1"/>
      <c r="H3135" s="1"/>
    </row>
    <row r="3136" spans="2:8" ht="12.75">
      <c r="B3136" s="15" t="s">
        <v>14</v>
      </c>
      <c r="C3136" s="9">
        <f>SUM(C3137:C3139)</f>
        <v>47.09</v>
      </c>
      <c r="D3136" s="9">
        <f>SUM(D3137:D3139)</f>
        <v>6.398445567693897</v>
      </c>
      <c r="E3136" s="1"/>
      <c r="F3136" s="1"/>
      <c r="G3136" s="1"/>
      <c r="H3136" s="1"/>
    </row>
    <row r="3137" spans="2:8" ht="12.75">
      <c r="B3137" s="6" t="s">
        <v>43</v>
      </c>
      <c r="C3137" s="8">
        <f>4.78+6.48</f>
        <v>11.260000000000002</v>
      </c>
      <c r="D3137" s="8">
        <f>C3137/613.3/12*1000</f>
        <v>1.5299744551334316</v>
      </c>
      <c r="E3137" s="1"/>
      <c r="F3137" s="1"/>
      <c r="G3137" s="1"/>
      <c r="H3137" s="1"/>
    </row>
    <row r="3138" spans="2:8" ht="12.75">
      <c r="B3138" s="17" t="s">
        <v>44</v>
      </c>
      <c r="C3138" s="8">
        <v>5.42</v>
      </c>
      <c r="D3138" s="8">
        <f>C3138/613.3/12*1000</f>
        <v>0.7364530681015273</v>
      </c>
      <c r="E3138" s="1"/>
      <c r="F3138" s="1"/>
      <c r="G3138" s="1"/>
      <c r="H3138" s="1"/>
    </row>
    <row r="3139" spans="2:8" ht="12.75">
      <c r="B3139" s="6" t="s">
        <v>16</v>
      </c>
      <c r="C3139" s="8">
        <v>30.41</v>
      </c>
      <c r="D3139" s="8">
        <f>C3139/613.3/12*1000</f>
        <v>4.132018044458938</v>
      </c>
      <c r="E3139" s="1"/>
      <c r="F3139" s="1"/>
      <c r="G3139" s="1"/>
      <c r="H3139" s="1"/>
    </row>
    <row r="3140" spans="2:8" ht="12.75">
      <c r="B3140" s="10" t="s">
        <v>19</v>
      </c>
      <c r="C3140" s="22">
        <f>SUM(C3141:C3143)</f>
        <v>12.05</v>
      </c>
      <c r="D3140" s="22">
        <f>SUM(D3141:D3143)</f>
        <v>1.637317245502473</v>
      </c>
      <c r="E3140" s="1"/>
      <c r="F3140" s="1"/>
      <c r="G3140" s="1"/>
      <c r="H3140" s="1"/>
    </row>
    <row r="3141" spans="2:8" ht="12.75">
      <c r="B3141" s="6" t="s">
        <v>45</v>
      </c>
      <c r="C3141" s="8">
        <f>7.62+1.54+0.77</f>
        <v>9.93</v>
      </c>
      <c r="D3141" s="8">
        <f>C3141/613.3/12*1000</f>
        <v>1.349258111853905</v>
      </c>
      <c r="E3141" s="1"/>
      <c r="F3141" s="1"/>
      <c r="G3141" s="1"/>
      <c r="H3141" s="1"/>
    </row>
    <row r="3142" spans="2:8" ht="12.75">
      <c r="B3142" s="6" t="s">
        <v>46</v>
      </c>
      <c r="C3142" s="8">
        <v>0</v>
      </c>
      <c r="D3142" s="8">
        <f>C3142/613.3/12*1000</f>
        <v>0</v>
      </c>
      <c r="E3142" s="1"/>
      <c r="F3142" s="1"/>
      <c r="G3142" s="1"/>
      <c r="H3142" s="1"/>
    </row>
    <row r="3143" spans="2:8" ht="12.75">
      <c r="B3143" s="8" t="s">
        <v>48</v>
      </c>
      <c r="C3143" s="8">
        <v>2.12</v>
      </c>
      <c r="D3143" s="8">
        <f>C3143/613.3/12*1000</f>
        <v>0.2880591336485679</v>
      </c>
      <c r="E3143" s="1"/>
      <c r="F3143" s="1"/>
      <c r="G3143" s="1"/>
      <c r="H3143" s="1"/>
    </row>
    <row r="3144" spans="2:8" ht="12.75">
      <c r="B3144" s="14" t="s">
        <v>27</v>
      </c>
      <c r="C3144" s="14">
        <f>9.15+1.43</f>
        <v>10.58</v>
      </c>
      <c r="D3144" s="14">
        <f>C3144/613.3/12*1000</f>
        <v>1.4375781292461547</v>
      </c>
      <c r="E3144" s="1"/>
      <c r="F3144" s="1"/>
      <c r="G3144" s="1"/>
      <c r="H3144" s="1"/>
    </row>
    <row r="3145" spans="2:8" ht="12.75">
      <c r="B3145" s="14" t="s">
        <v>187</v>
      </c>
      <c r="C3145" s="14">
        <v>2.4</v>
      </c>
      <c r="D3145" s="14">
        <f>C3145/613.3/12*1000</f>
        <v>0.3261046796021523</v>
      </c>
      <c r="E3145" s="1"/>
      <c r="F3145" s="1"/>
      <c r="G3145" s="1"/>
      <c r="H3145" s="1"/>
    </row>
    <row r="3146" spans="2:8" ht="12.75">
      <c r="B3146" s="14" t="s">
        <v>29</v>
      </c>
      <c r="C3146" s="23">
        <f>C3135+C3136+C3140+C3144+C3145</f>
        <v>84.7</v>
      </c>
      <c r="D3146" s="23">
        <f>D3135+D3136+D3140+D3144+D3145</f>
        <v>11.508777650959292</v>
      </c>
      <c r="E3146" s="1"/>
      <c r="F3146" s="1"/>
      <c r="G3146" s="1"/>
      <c r="H3146" s="1"/>
    </row>
    <row r="3147" spans="2:8" ht="12.75">
      <c r="B3147" s="8" t="s">
        <v>51</v>
      </c>
      <c r="C3147" s="8">
        <v>8.47</v>
      </c>
      <c r="D3147" s="8">
        <f>C3147/613.3/12*1000</f>
        <v>1.1508777650959294</v>
      </c>
      <c r="E3147" s="1"/>
      <c r="F3147" s="1"/>
      <c r="G3147" s="1"/>
      <c r="H3147" s="1"/>
    </row>
    <row r="3148" spans="2:8" ht="12.75">
      <c r="B3148" s="14" t="s">
        <v>31</v>
      </c>
      <c r="C3148" s="23">
        <f>C3146+C3147</f>
        <v>93.17</v>
      </c>
      <c r="D3148" s="23">
        <f>D3146+D3147</f>
        <v>12.659655416055221</v>
      </c>
      <c r="E3148" s="1"/>
      <c r="F3148" s="1"/>
      <c r="G3148" s="1"/>
      <c r="H3148" s="1"/>
    </row>
    <row r="3149" spans="2:8" ht="12.75">
      <c r="B3149" s="6" t="s">
        <v>34</v>
      </c>
      <c r="C3149" s="23">
        <f>C3148/C3134/12*1000</f>
        <v>12.659655416055221</v>
      </c>
      <c r="D3149" s="8"/>
      <c r="E3149" s="1"/>
      <c r="F3149" s="1"/>
      <c r="G3149" s="1"/>
      <c r="H3149" s="1"/>
    </row>
    <row r="3150" spans="2:8" ht="12.75">
      <c r="B3150" s="1"/>
      <c r="C3150" s="1"/>
      <c r="D3150" s="1"/>
      <c r="E3150" s="1"/>
      <c r="F3150" s="1"/>
      <c r="G3150" s="1"/>
      <c r="H3150" s="1"/>
    </row>
    <row r="3151" spans="2:8" ht="12.75">
      <c r="B3151" s="1" t="s">
        <v>52</v>
      </c>
      <c r="C3151" s="1"/>
      <c r="D3151" s="1"/>
      <c r="E3151" s="1"/>
      <c r="F3151" s="1"/>
      <c r="G3151" s="1"/>
      <c r="H3151" s="1"/>
    </row>
    <row r="3152" spans="2:8" ht="12.75">
      <c r="B3152" s="1"/>
      <c r="C3152" s="1"/>
      <c r="D3152" s="1"/>
      <c r="E3152" s="1"/>
      <c r="F3152" s="1"/>
      <c r="G3152" s="1"/>
      <c r="H3152" s="1"/>
    </row>
    <row r="3153" spans="2:8" ht="12.75">
      <c r="B3153" s="2" t="s">
        <v>0</v>
      </c>
      <c r="C3153" s="2"/>
      <c r="D3153" s="2"/>
      <c r="E3153" s="1"/>
      <c r="F3153" s="1"/>
      <c r="G3153" s="1"/>
      <c r="H3153" s="1"/>
    </row>
    <row r="3154" spans="2:8" ht="12.75">
      <c r="B3154" s="2" t="s">
        <v>65</v>
      </c>
      <c r="C3154" s="2"/>
      <c r="D3154" s="2"/>
      <c r="E3154" s="1"/>
      <c r="F3154" s="1"/>
      <c r="G3154" s="1"/>
      <c r="H3154" s="1"/>
    </row>
    <row r="3155" spans="2:8" ht="12.75">
      <c r="B3155" s="2" t="s">
        <v>188</v>
      </c>
      <c r="C3155" s="2"/>
      <c r="D3155" s="2"/>
      <c r="E3155" s="1"/>
      <c r="F3155" s="1"/>
      <c r="G3155" s="1"/>
      <c r="H3155" s="1"/>
    </row>
    <row r="3156" spans="2:8" ht="12.75">
      <c r="B3156" s="3"/>
      <c r="C3156" s="3"/>
      <c r="D3156" s="1"/>
      <c r="E3156" s="1"/>
      <c r="F3156" s="1"/>
      <c r="G3156" s="1"/>
      <c r="H3156" s="1"/>
    </row>
    <row r="3157" spans="2:8" ht="12.75">
      <c r="B3157" s="5" t="s">
        <v>4</v>
      </c>
      <c r="C3157" s="6" t="s">
        <v>40</v>
      </c>
      <c r="D3157" s="6" t="s">
        <v>41</v>
      </c>
      <c r="E3157" s="1"/>
      <c r="F3157" s="1"/>
      <c r="G3157" s="1"/>
      <c r="H3157" s="1"/>
    </row>
    <row r="3158" spans="2:8" ht="12.75">
      <c r="B3158" s="6"/>
      <c r="C3158" s="6"/>
      <c r="D3158" s="7"/>
      <c r="E3158" s="1"/>
      <c r="F3158" s="1"/>
      <c r="G3158" s="1"/>
      <c r="H3158" s="1"/>
    </row>
    <row r="3159" spans="2:8" ht="12.75">
      <c r="B3159" s="10" t="s">
        <v>42</v>
      </c>
      <c r="C3159" s="8">
        <v>744.1</v>
      </c>
      <c r="D3159" s="8"/>
      <c r="E3159" s="1"/>
      <c r="F3159" s="1"/>
      <c r="G3159" s="1"/>
      <c r="H3159" s="1"/>
    </row>
    <row r="3160" spans="2:8" ht="12.75">
      <c r="B3160" s="11" t="s">
        <v>13</v>
      </c>
      <c r="C3160" s="32">
        <v>5.46</v>
      </c>
      <c r="D3160" s="14">
        <f>C3160/744.1/12*1000</f>
        <v>0.6114769520225776</v>
      </c>
      <c r="E3160" s="1"/>
      <c r="F3160" s="1"/>
      <c r="G3160" s="1"/>
      <c r="H3160" s="1"/>
    </row>
    <row r="3161" spans="2:8" ht="12.75">
      <c r="B3161" s="15" t="s">
        <v>14</v>
      </c>
      <c r="C3161" s="9">
        <f>SUM(C3162:C3164)</f>
        <v>17.47</v>
      </c>
      <c r="D3161" s="9">
        <f>SUM(D3162:D3164)</f>
        <v>1.9565022622407384</v>
      </c>
      <c r="E3161" s="1"/>
      <c r="F3161" s="1"/>
      <c r="G3161" s="1"/>
      <c r="H3161" s="1"/>
    </row>
    <row r="3162" spans="2:8" ht="12.75">
      <c r="B3162" s="6" t="s">
        <v>43</v>
      </c>
      <c r="C3162" s="8">
        <f>5.8+7.86</f>
        <v>13.66</v>
      </c>
      <c r="D3162" s="8">
        <f>C3162/744.1/12*1000</f>
        <v>1.5298123012139946</v>
      </c>
      <c r="E3162" s="1"/>
      <c r="F3162" s="1"/>
      <c r="G3162" s="1"/>
      <c r="H3162" s="1"/>
    </row>
    <row r="3163" spans="2:8" ht="12.75">
      <c r="B3163" s="17" t="s">
        <v>44</v>
      </c>
      <c r="C3163" s="8">
        <v>6.57</v>
      </c>
      <c r="D3163" s="8">
        <f>C3163/744.1/12*1000</f>
        <v>0.7357882005106842</v>
      </c>
      <c r="E3163" s="1"/>
      <c r="F3163" s="1"/>
      <c r="G3163" s="1"/>
      <c r="H3163" s="1"/>
    </row>
    <row r="3164" spans="2:8" ht="12.75">
      <c r="B3164" s="6" t="s">
        <v>16</v>
      </c>
      <c r="C3164" s="8">
        <f>-3.92+1.16</f>
        <v>-2.76</v>
      </c>
      <c r="D3164" s="8">
        <f>C3164/744.1/12*1000</f>
        <v>-0.3090982394839403</v>
      </c>
      <c r="E3164" s="1"/>
      <c r="F3164" s="1"/>
      <c r="G3164" s="1"/>
      <c r="H3164" s="1"/>
    </row>
    <row r="3165" spans="2:8" ht="12.75">
      <c r="B3165" s="10" t="s">
        <v>19</v>
      </c>
      <c r="C3165" s="22">
        <f>SUM(C3166:C3168)</f>
        <v>2.12</v>
      </c>
      <c r="D3165" s="22">
        <f>SUM(D3167:D3168)</f>
        <v>0.23742328540070778</v>
      </c>
      <c r="E3165" s="1"/>
      <c r="F3165" s="1"/>
      <c r="G3165" s="1"/>
      <c r="H3165" s="1"/>
    </row>
    <row r="3166" spans="2:8" ht="12.75">
      <c r="B3166" s="6" t="s">
        <v>45</v>
      </c>
      <c r="C3166" s="22"/>
      <c r="D3166" s="22"/>
      <c r="E3166" s="1"/>
      <c r="F3166" s="1"/>
      <c r="G3166" s="1"/>
      <c r="H3166" s="1"/>
    </row>
    <row r="3167" spans="2:8" ht="12.75">
      <c r="B3167" s="6" t="s">
        <v>46</v>
      </c>
      <c r="C3167" s="8">
        <v>0</v>
      </c>
      <c r="D3167" s="8">
        <f>C3167/744.1/12*1000</f>
        <v>0</v>
      </c>
      <c r="E3167" s="1"/>
      <c r="F3167" s="1"/>
      <c r="G3167" s="1"/>
      <c r="H3167" s="1"/>
    </row>
    <row r="3168" spans="2:8" ht="12.75">
      <c r="B3168" s="8" t="s">
        <v>48</v>
      </c>
      <c r="C3168" s="8">
        <v>2.12</v>
      </c>
      <c r="D3168" s="8">
        <f>C3168/744.1/12*1000</f>
        <v>0.23742328540070778</v>
      </c>
      <c r="E3168" s="1"/>
      <c r="F3168" s="1"/>
      <c r="G3168" s="1"/>
      <c r="H3168" s="1"/>
    </row>
    <row r="3169" spans="2:8" ht="12.75">
      <c r="B3169" s="14" t="s">
        <v>27</v>
      </c>
      <c r="C3169" s="14">
        <f>11.1+0.62</f>
        <v>11.719999999999999</v>
      </c>
      <c r="D3169" s="8">
        <f>C3169/744.1/12*1000</f>
        <v>1.3125475966491957</v>
      </c>
      <c r="E3169" s="1"/>
      <c r="F3169" s="1"/>
      <c r="G3169" s="1"/>
      <c r="H3169" s="1"/>
    </row>
    <row r="3170" spans="2:8" ht="12.75">
      <c r="B3170" s="14" t="s">
        <v>187</v>
      </c>
      <c r="C3170" s="14"/>
      <c r="D3170" s="8"/>
      <c r="E3170" s="1"/>
      <c r="F3170" s="1"/>
      <c r="G3170" s="1"/>
      <c r="H3170" s="1"/>
    </row>
    <row r="3171" spans="2:8" ht="12.75">
      <c r="B3171" s="14" t="s">
        <v>29</v>
      </c>
      <c r="C3171" s="23">
        <f>C3160+C3161+C3165+C3169+C3170</f>
        <v>36.769999999999996</v>
      </c>
      <c r="D3171" s="23">
        <f>D3160+D3161+D3165+D3169+D3170</f>
        <v>4.117950096313219</v>
      </c>
      <c r="E3171" s="1"/>
      <c r="F3171" s="1"/>
      <c r="G3171" s="1"/>
      <c r="H3171" s="1"/>
    </row>
    <row r="3172" spans="2:8" ht="12.75">
      <c r="B3172" s="8" t="s">
        <v>51</v>
      </c>
      <c r="C3172" s="8">
        <v>3.68</v>
      </c>
      <c r="D3172" s="8">
        <f>C3172/744.1/12*1000</f>
        <v>0.4121309859785871</v>
      </c>
      <c r="E3172" s="1"/>
      <c r="F3172" s="1"/>
      <c r="G3172" s="1"/>
      <c r="H3172" s="1"/>
    </row>
    <row r="3173" spans="2:8" ht="12.75">
      <c r="B3173" s="14" t="s">
        <v>31</v>
      </c>
      <c r="C3173" s="23">
        <f>C3171+C3172</f>
        <v>40.449999999999996</v>
      </c>
      <c r="D3173" s="23">
        <f>D3171+D3172</f>
        <v>4.530081082291806</v>
      </c>
      <c r="E3173" s="1"/>
      <c r="F3173" s="1"/>
      <c r="G3173" s="1"/>
      <c r="H3173" s="1"/>
    </row>
    <row r="3174" spans="2:8" ht="12.75">
      <c r="B3174" s="6" t="s">
        <v>34</v>
      </c>
      <c r="C3174" s="23">
        <f>C3173/C3159/12*1000</f>
        <v>4.530081082291806</v>
      </c>
      <c r="D3174" s="8"/>
      <c r="E3174" s="1"/>
      <c r="F3174" s="1"/>
      <c r="G3174" s="1"/>
      <c r="H3174" s="1"/>
    </row>
    <row r="3175" spans="2:8" ht="12.75">
      <c r="B3175" s="1"/>
      <c r="C3175" s="1"/>
      <c r="D3175" s="1"/>
      <c r="E3175" s="1"/>
      <c r="F3175" s="1"/>
      <c r="G3175" s="1"/>
      <c r="H3175" s="1"/>
    </row>
    <row r="3176" spans="2:8" ht="12.75">
      <c r="B3176" s="1" t="s">
        <v>52</v>
      </c>
      <c r="C3176" s="1"/>
      <c r="D3176" s="1"/>
      <c r="E3176" s="1"/>
      <c r="F3176" s="1"/>
      <c r="G3176" s="1"/>
      <c r="H3176" s="1"/>
    </row>
    <row r="3177" spans="2:8" ht="12.75">
      <c r="B3177" s="1"/>
      <c r="C3177" s="1"/>
      <c r="D3177" s="1"/>
      <c r="E3177" s="1"/>
      <c r="F3177" s="1"/>
      <c r="G3177" s="1"/>
      <c r="H3177" s="1"/>
    </row>
    <row r="3178" spans="2:8" ht="12.75">
      <c r="B3178" s="2" t="s">
        <v>0</v>
      </c>
      <c r="C3178" s="2"/>
      <c r="D3178" s="2"/>
      <c r="E3178" s="1"/>
      <c r="F3178" s="1"/>
      <c r="G3178" s="1"/>
      <c r="H3178" s="1"/>
    </row>
    <row r="3179" spans="2:8" ht="12.75">
      <c r="B3179" s="2" t="s">
        <v>65</v>
      </c>
      <c r="C3179" s="2"/>
      <c r="D3179" s="2"/>
      <c r="E3179" s="1"/>
      <c r="F3179" s="1"/>
      <c r="G3179" s="1"/>
      <c r="H3179" s="1"/>
    </row>
    <row r="3180" spans="2:8" ht="12.75">
      <c r="B3180" s="2" t="s">
        <v>189</v>
      </c>
      <c r="C3180" s="2"/>
      <c r="D3180" s="2"/>
      <c r="E3180" s="1"/>
      <c r="F3180" s="1"/>
      <c r="G3180" s="1"/>
      <c r="H3180" s="1"/>
    </row>
    <row r="3181" spans="2:8" ht="12.75">
      <c r="B3181" s="3"/>
      <c r="C3181" s="3"/>
      <c r="D3181" s="1"/>
      <c r="E3181" s="1"/>
      <c r="F3181" s="1"/>
      <c r="G3181" s="1"/>
      <c r="H3181" s="1"/>
    </row>
    <row r="3182" spans="2:8" ht="12.75">
      <c r="B3182" s="5" t="s">
        <v>4</v>
      </c>
      <c r="C3182" s="31" t="s">
        <v>40</v>
      </c>
      <c r="D3182" s="6" t="s">
        <v>41</v>
      </c>
      <c r="E3182" s="1"/>
      <c r="F3182" s="1"/>
      <c r="G3182" s="1"/>
      <c r="H3182" s="1"/>
    </row>
    <row r="3183" spans="2:8" ht="12.75">
      <c r="B3183" s="6"/>
      <c r="C3183" s="6"/>
      <c r="D3183" s="7"/>
      <c r="E3183" s="1"/>
      <c r="F3183" s="1"/>
      <c r="G3183" s="1"/>
      <c r="H3183" s="1"/>
    </row>
    <row r="3184" spans="2:8" ht="12.75">
      <c r="B3184" s="10" t="s">
        <v>42</v>
      </c>
      <c r="C3184" s="8">
        <v>917.8</v>
      </c>
      <c r="D3184" s="8"/>
      <c r="E3184" s="1"/>
      <c r="F3184" s="1"/>
      <c r="G3184" s="1"/>
      <c r="H3184" s="1"/>
    </row>
    <row r="3185" spans="2:8" ht="12.75">
      <c r="B3185" s="11" t="s">
        <v>13</v>
      </c>
      <c r="C3185" s="32">
        <v>18.82</v>
      </c>
      <c r="D3185" s="14">
        <f>C3185/917.8/12*1000</f>
        <v>1.7087963971816662</v>
      </c>
      <c r="E3185" s="1"/>
      <c r="F3185" s="1"/>
      <c r="G3185" s="1"/>
      <c r="H3185" s="1"/>
    </row>
    <row r="3186" spans="2:8" ht="12.75">
      <c r="B3186" s="15" t="s">
        <v>14</v>
      </c>
      <c r="C3186" s="9">
        <f>SUM(C3187:C3189)</f>
        <v>71.65</v>
      </c>
      <c r="D3186" s="9">
        <f>SUM(D3187:D3189)</f>
        <v>6.505593084913199</v>
      </c>
      <c r="E3186" s="1"/>
      <c r="F3186" s="1"/>
      <c r="G3186" s="1"/>
      <c r="H3186" s="1"/>
    </row>
    <row r="3187" spans="2:8" ht="12.75">
      <c r="B3187" s="6" t="s">
        <v>43</v>
      </c>
      <c r="C3187" s="8">
        <f>7.16+9.69</f>
        <v>16.85</v>
      </c>
      <c r="D3187" s="8">
        <f>C3187/917.8/12*1000</f>
        <v>1.5299266361589312</v>
      </c>
      <c r="E3187" s="1"/>
      <c r="F3187" s="1"/>
      <c r="G3187" s="1"/>
      <c r="H3187" s="1"/>
    </row>
    <row r="3188" spans="2:8" ht="12.75">
      <c r="B3188" s="17" t="s">
        <v>44</v>
      </c>
      <c r="C3188" s="8">
        <v>8.11</v>
      </c>
      <c r="D3188" s="8">
        <f>C3188/917.8/12*1000</f>
        <v>0.7363623156824289</v>
      </c>
      <c r="E3188" s="1"/>
      <c r="F3188" s="1"/>
      <c r="G3188" s="1"/>
      <c r="H3188" s="1"/>
    </row>
    <row r="3189" spans="2:8" ht="12.75">
      <c r="B3189" s="6" t="s">
        <v>16</v>
      </c>
      <c r="C3189" s="8">
        <v>46.69</v>
      </c>
      <c r="D3189" s="8">
        <f>C3189/917.8/12*1000</f>
        <v>4.239304133071839</v>
      </c>
      <c r="E3189" s="1"/>
      <c r="F3189" s="1"/>
      <c r="G3189" s="1"/>
      <c r="H3189" s="1"/>
    </row>
    <row r="3190" spans="2:8" ht="12.75">
      <c r="B3190" s="10" t="s">
        <v>19</v>
      </c>
      <c r="C3190" s="22">
        <f>SUM(C3191:C3194)</f>
        <v>18.06</v>
      </c>
      <c r="D3190" s="22">
        <f>SUM(D3191:D3194)</f>
        <v>1.639790804096753</v>
      </c>
      <c r="E3190" s="1"/>
      <c r="F3190" s="1"/>
      <c r="G3190" s="1"/>
      <c r="H3190" s="1"/>
    </row>
    <row r="3191" spans="2:8" ht="12.75">
      <c r="B3191" s="6" t="s">
        <v>45</v>
      </c>
      <c r="C3191" s="8">
        <f>11.66+2.36+1.18</f>
        <v>15.2</v>
      </c>
      <c r="D3191" s="8">
        <f>C3191/917.8/12*1000</f>
        <v>1.380111861698264</v>
      </c>
      <c r="E3191" s="1"/>
      <c r="F3191" s="1"/>
      <c r="G3191" s="1"/>
      <c r="H3191" s="1"/>
    </row>
    <row r="3192" spans="2:8" ht="12.75">
      <c r="B3192" s="6" t="s">
        <v>46</v>
      </c>
      <c r="C3192" s="8">
        <v>0</v>
      </c>
      <c r="D3192" s="8">
        <f>C3192/917.8/12*1000</f>
        <v>0</v>
      </c>
      <c r="E3192" s="1"/>
      <c r="F3192" s="1"/>
      <c r="G3192" s="1"/>
      <c r="H3192" s="1"/>
    </row>
    <row r="3193" spans="2:8" ht="12.75">
      <c r="B3193" s="20" t="s">
        <v>47</v>
      </c>
      <c r="C3193" s="8">
        <v>0.47</v>
      </c>
      <c r="D3193" s="8">
        <f>C3193/917.8/12*1000</f>
        <v>0.04267451151303843</v>
      </c>
      <c r="E3193" s="1"/>
      <c r="F3193" s="1"/>
      <c r="G3193" s="1"/>
      <c r="H3193" s="1"/>
    </row>
    <row r="3194" spans="2:8" ht="12.75">
      <c r="B3194" s="8" t="s">
        <v>48</v>
      </c>
      <c r="C3194" s="8">
        <v>2.39</v>
      </c>
      <c r="D3194" s="8">
        <f>C3194/917.8/12*1000</f>
        <v>0.21700443088545074</v>
      </c>
      <c r="E3194" s="1"/>
      <c r="F3194" s="1"/>
      <c r="G3194" s="1"/>
      <c r="H3194" s="1"/>
    </row>
    <row r="3195" spans="2:8" ht="12.75">
      <c r="B3195" s="14" t="s">
        <v>27</v>
      </c>
      <c r="C3195" s="14">
        <f>13.69+2.14</f>
        <v>15.83</v>
      </c>
      <c r="D3195" s="14">
        <f>C3195/917.8/12*1000</f>
        <v>1.4373138664923368</v>
      </c>
      <c r="E3195" s="1"/>
      <c r="F3195" s="1"/>
      <c r="G3195" s="1"/>
      <c r="H3195" s="1"/>
    </row>
    <row r="3196" spans="2:8" ht="12.75">
      <c r="B3196" s="14" t="s">
        <v>187</v>
      </c>
      <c r="C3196" s="14">
        <v>2.4</v>
      </c>
      <c r="D3196" s="14">
        <f>C3196/917.8/12*1000</f>
        <v>0.21791239921551536</v>
      </c>
      <c r="E3196" s="1"/>
      <c r="F3196" s="1"/>
      <c r="G3196" s="1"/>
      <c r="H3196" s="1"/>
    </row>
    <row r="3197" spans="2:8" ht="12.75">
      <c r="B3197" s="14" t="s">
        <v>29</v>
      </c>
      <c r="C3197" s="23">
        <f>C3185+C3186+C3190+C3195+C3196</f>
        <v>126.76</v>
      </c>
      <c r="D3197" s="23">
        <f>D3185+D3186+D3190+D3195+D3196</f>
        <v>11.509406551899472</v>
      </c>
      <c r="E3197" s="1"/>
      <c r="F3197" s="1"/>
      <c r="G3197" s="1"/>
      <c r="H3197" s="1"/>
    </row>
    <row r="3198" spans="2:8" ht="12.75">
      <c r="B3198" s="8" t="s">
        <v>51</v>
      </c>
      <c r="C3198" s="8">
        <v>12.68</v>
      </c>
      <c r="D3198" s="8">
        <f>C3198/917.8/12*1000</f>
        <v>1.1513038425219728</v>
      </c>
      <c r="E3198" s="1"/>
      <c r="F3198" s="1"/>
      <c r="G3198" s="1"/>
      <c r="H3198" s="1"/>
    </row>
    <row r="3199" spans="2:8" ht="12.75">
      <c r="B3199" s="14" t="s">
        <v>31</v>
      </c>
      <c r="C3199" s="23">
        <f>C3197+C3198</f>
        <v>139.44</v>
      </c>
      <c r="D3199" s="23">
        <f>D3197+D3198</f>
        <v>12.660710394421445</v>
      </c>
      <c r="E3199" s="1"/>
      <c r="F3199" s="1"/>
      <c r="G3199" s="1"/>
      <c r="H3199" s="1"/>
    </row>
    <row r="3200" spans="2:8" ht="12.75">
      <c r="B3200" s="6" t="s">
        <v>34</v>
      </c>
      <c r="C3200" s="23">
        <f>C3199/C3184/12*1000</f>
        <v>12.660710394421443</v>
      </c>
      <c r="D3200" s="8"/>
      <c r="E3200" s="1"/>
      <c r="F3200" s="1"/>
      <c r="G3200" s="1"/>
      <c r="H3200" s="1"/>
    </row>
    <row r="3201" spans="2:8" ht="12.75">
      <c r="B3201" s="1"/>
      <c r="C3201" s="1"/>
      <c r="D3201" s="1"/>
      <c r="E3201" s="1"/>
      <c r="F3201" s="1"/>
      <c r="G3201" s="1"/>
      <c r="H3201" s="1"/>
    </row>
    <row r="3202" spans="2:8" ht="12.75">
      <c r="B3202" s="1" t="s">
        <v>52</v>
      </c>
      <c r="C3202" s="1"/>
      <c r="D3202" s="1"/>
      <c r="E3202" s="1"/>
      <c r="F3202" s="1"/>
      <c r="G3202" s="1"/>
      <c r="H3202" s="1"/>
    </row>
    <row r="3203" spans="2:8" ht="12.75">
      <c r="B3203" s="1"/>
      <c r="C3203" s="1"/>
      <c r="D3203" s="1"/>
      <c r="E3203" s="1"/>
      <c r="F3203" s="1"/>
      <c r="G3203" s="1"/>
      <c r="H3203" s="1"/>
    </row>
    <row r="3204" spans="2:8" ht="12.75">
      <c r="B3204" s="2" t="s">
        <v>0</v>
      </c>
      <c r="C3204" s="2"/>
      <c r="D3204" s="2"/>
      <c r="E3204" s="1"/>
      <c r="F3204" s="1"/>
      <c r="G3204" s="1"/>
      <c r="H3204" s="1"/>
    </row>
    <row r="3205" spans="2:8" ht="12.75">
      <c r="B3205" s="2" t="s">
        <v>65</v>
      </c>
      <c r="C3205" s="2"/>
      <c r="D3205" s="2"/>
      <c r="E3205" s="1"/>
      <c r="F3205" s="1"/>
      <c r="G3205" s="1"/>
      <c r="H3205" s="1"/>
    </row>
    <row r="3206" spans="2:8" ht="12.75">
      <c r="B3206" s="2" t="s">
        <v>190</v>
      </c>
      <c r="C3206" s="2"/>
      <c r="D3206" s="2"/>
      <c r="E3206" s="1"/>
      <c r="F3206" s="1"/>
      <c r="G3206" s="1"/>
      <c r="H3206" s="1"/>
    </row>
    <row r="3207" spans="2:8" ht="12.75">
      <c r="B3207" s="3"/>
      <c r="C3207" s="3"/>
      <c r="D3207" s="1"/>
      <c r="E3207" s="1"/>
      <c r="F3207" s="1"/>
      <c r="G3207" s="1"/>
      <c r="H3207" s="1"/>
    </row>
    <row r="3208" spans="2:8" ht="12.75">
      <c r="B3208" s="5" t="s">
        <v>4</v>
      </c>
      <c r="C3208" s="31" t="s">
        <v>40</v>
      </c>
      <c r="D3208" s="6" t="s">
        <v>41</v>
      </c>
      <c r="E3208" s="1"/>
      <c r="F3208" s="1"/>
      <c r="G3208" s="1"/>
      <c r="H3208" s="1"/>
    </row>
    <row r="3209" spans="2:8" ht="12.75">
      <c r="B3209" s="6"/>
      <c r="C3209" s="6"/>
      <c r="D3209" s="7"/>
      <c r="E3209" s="1"/>
      <c r="F3209" s="1"/>
      <c r="G3209" s="1"/>
      <c r="H3209" s="1"/>
    </row>
    <row r="3210" spans="2:8" ht="12.75">
      <c r="B3210" s="10" t="s">
        <v>42</v>
      </c>
      <c r="C3210" s="8">
        <v>1233</v>
      </c>
      <c r="D3210" s="8"/>
      <c r="E3210" s="1"/>
      <c r="F3210" s="1"/>
      <c r="G3210" s="1"/>
      <c r="H3210" s="1"/>
    </row>
    <row r="3211" spans="2:8" ht="12.75">
      <c r="B3211" s="11" t="s">
        <v>13</v>
      </c>
      <c r="C3211" s="32">
        <v>25.29</v>
      </c>
      <c r="D3211" s="14">
        <f>C3211/1233/12*1000</f>
        <v>1.7092457420924574</v>
      </c>
      <c r="E3211" s="1"/>
      <c r="F3211" s="1"/>
      <c r="G3211" s="1"/>
      <c r="H3211" s="1"/>
    </row>
    <row r="3212" spans="2:8" ht="12.75">
      <c r="B3212" s="15" t="s">
        <v>14</v>
      </c>
      <c r="C3212" s="9">
        <f>SUM(C3213:C3215)</f>
        <v>100.88</v>
      </c>
      <c r="D3212" s="9">
        <f>SUM(D3213:D3215)</f>
        <v>6.818058934847255</v>
      </c>
      <c r="E3212" s="1"/>
      <c r="F3212" s="1"/>
      <c r="G3212" s="1"/>
      <c r="H3212" s="1"/>
    </row>
    <row r="3213" spans="2:8" ht="12.75">
      <c r="B3213" s="6" t="s">
        <v>43</v>
      </c>
      <c r="C3213" s="8">
        <f>9.62+13.02</f>
        <v>22.64</v>
      </c>
      <c r="D3213" s="8">
        <f>C3213/1233/12*1000</f>
        <v>1.5301432819680996</v>
      </c>
      <c r="E3213" s="1"/>
      <c r="F3213" s="1"/>
      <c r="G3213" s="1"/>
      <c r="H3213" s="1"/>
    </row>
    <row r="3214" spans="2:8" ht="12.75">
      <c r="B3214" s="17" t="s">
        <v>44</v>
      </c>
      <c r="C3214" s="8">
        <v>10.89</v>
      </c>
      <c r="D3214" s="8">
        <f>C3214/1233/12*1000</f>
        <v>0.7360097323600973</v>
      </c>
      <c r="E3214" s="1"/>
      <c r="F3214" s="1"/>
      <c r="G3214" s="1"/>
      <c r="H3214" s="1"/>
    </row>
    <row r="3215" spans="2:8" ht="12.75">
      <c r="B3215" s="6" t="s">
        <v>16</v>
      </c>
      <c r="C3215" s="8">
        <v>67.35</v>
      </c>
      <c r="D3215" s="8">
        <f>C3215/1233/12*1000</f>
        <v>4.551905920519059</v>
      </c>
      <c r="E3215" s="1"/>
      <c r="F3215" s="1"/>
      <c r="G3215" s="1"/>
      <c r="H3215" s="1"/>
    </row>
    <row r="3216" spans="2:8" ht="12.75">
      <c r="B3216" s="10" t="s">
        <v>19</v>
      </c>
      <c r="C3216" s="22">
        <f>SUM(C3217:C3220)</f>
        <v>20.45</v>
      </c>
      <c r="D3216" s="22">
        <f>SUM(D3217:D3220)</f>
        <v>1.3821303054879697</v>
      </c>
      <c r="E3216" s="1"/>
      <c r="F3216" s="1"/>
      <c r="G3216" s="1"/>
      <c r="H3216" s="1"/>
    </row>
    <row r="3217" spans="2:8" ht="12.75">
      <c r="B3217" s="6" t="s">
        <v>45</v>
      </c>
      <c r="C3217" s="8">
        <f>12.59+2.54+1.27</f>
        <v>16.4</v>
      </c>
      <c r="D3217" s="8">
        <f>C3217/1233/12*1000</f>
        <v>1.1084076777507434</v>
      </c>
      <c r="E3217" s="1"/>
      <c r="F3217" s="1"/>
      <c r="G3217" s="1"/>
      <c r="H3217" s="1"/>
    </row>
    <row r="3218" spans="2:8" ht="12.75">
      <c r="B3218" s="6" t="s">
        <v>46</v>
      </c>
      <c r="C3218" s="8"/>
      <c r="D3218" s="8">
        <f>C3218/1233/12*1000</f>
        <v>0</v>
      </c>
      <c r="E3218" s="1"/>
      <c r="F3218" s="1"/>
      <c r="G3218" s="1"/>
      <c r="H3218" s="1"/>
    </row>
    <row r="3219" spans="2:8" ht="12.75">
      <c r="B3219" s="20" t="s">
        <v>47</v>
      </c>
      <c r="C3219" s="8">
        <v>0.47</v>
      </c>
      <c r="D3219" s="8">
        <f>C3219/1233/12*1000</f>
        <v>0.031765341984320086</v>
      </c>
      <c r="E3219" s="1"/>
      <c r="F3219" s="1"/>
      <c r="G3219" s="1"/>
      <c r="H3219" s="1"/>
    </row>
    <row r="3220" spans="2:8" ht="12.75">
      <c r="B3220" s="8" t="s">
        <v>48</v>
      </c>
      <c r="C3220" s="8">
        <v>3.58</v>
      </c>
      <c r="D3220" s="8">
        <f>C3220/1233/12*1000</f>
        <v>0.24195728575290618</v>
      </c>
      <c r="E3220" s="1"/>
      <c r="F3220" s="1"/>
      <c r="G3220" s="1"/>
      <c r="H3220" s="1"/>
    </row>
    <row r="3221" spans="2:8" ht="12.75">
      <c r="B3221" s="14" t="s">
        <v>27</v>
      </c>
      <c r="C3221" s="14">
        <f>18.4+2.87</f>
        <v>21.27</v>
      </c>
      <c r="D3221" s="14">
        <f>C3221/1233/12*1000</f>
        <v>1.4375506893755066</v>
      </c>
      <c r="E3221" s="1"/>
      <c r="F3221" s="1"/>
      <c r="G3221" s="1"/>
      <c r="H3221" s="1"/>
    </row>
    <row r="3222" spans="2:8" ht="12.75">
      <c r="B3222" s="14" t="s">
        <v>187</v>
      </c>
      <c r="C3222" s="14">
        <v>2.4</v>
      </c>
      <c r="D3222" s="14">
        <f>C3222/1233/12*1000</f>
        <v>0.16220600162206</v>
      </c>
      <c r="E3222" s="1"/>
      <c r="F3222" s="1"/>
      <c r="G3222" s="1"/>
      <c r="H3222" s="1"/>
    </row>
    <row r="3223" spans="2:8" ht="12.75">
      <c r="B3223" s="14" t="s">
        <v>29</v>
      </c>
      <c r="C3223" s="23">
        <f>C3211+C3212+C3216+C3221+C3222</f>
        <v>170.29</v>
      </c>
      <c r="D3223" s="23">
        <f>D3211+D3212+D3216+D3221+D3222</f>
        <v>11.509191673425248</v>
      </c>
      <c r="E3223" s="1"/>
      <c r="F3223" s="1"/>
      <c r="G3223" s="1"/>
      <c r="H3223" s="1"/>
    </row>
    <row r="3224" spans="2:8" ht="12.75">
      <c r="B3224" s="8" t="s">
        <v>51</v>
      </c>
      <c r="C3224" s="8">
        <v>17.03</v>
      </c>
      <c r="D3224" s="8">
        <f>C3224/1233/12*1000</f>
        <v>1.1509867531765343</v>
      </c>
      <c r="E3224" s="1"/>
      <c r="F3224" s="1"/>
      <c r="G3224" s="1"/>
      <c r="H3224" s="1"/>
    </row>
    <row r="3225" spans="2:8" ht="12.75">
      <c r="B3225" s="14" t="s">
        <v>31</v>
      </c>
      <c r="C3225" s="23">
        <f>C3223+C3224</f>
        <v>187.32</v>
      </c>
      <c r="D3225" s="23">
        <f>D3223+D3224</f>
        <v>12.660178426601782</v>
      </c>
      <c r="E3225" s="1"/>
      <c r="F3225" s="1"/>
      <c r="G3225" s="1"/>
      <c r="H3225" s="1"/>
    </row>
    <row r="3226" spans="2:8" ht="12.75">
      <c r="B3226" s="6" t="s">
        <v>34</v>
      </c>
      <c r="C3226" s="23">
        <f>C3225/C3210/12*1000</f>
        <v>12.660178426601783</v>
      </c>
      <c r="D3226" s="8"/>
      <c r="E3226" s="1"/>
      <c r="F3226" s="1"/>
      <c r="G3226" s="1"/>
      <c r="H3226" s="1"/>
    </row>
    <row r="3227" spans="2:8" ht="12.75">
      <c r="B3227" s="1"/>
      <c r="C3227" s="1"/>
      <c r="D3227" s="1"/>
      <c r="E3227" s="1"/>
      <c r="F3227" s="1"/>
      <c r="G3227" s="1"/>
      <c r="H3227" s="1"/>
    </row>
    <row r="3228" spans="2:8" ht="12.75">
      <c r="B3228" s="1" t="s">
        <v>52</v>
      </c>
      <c r="C3228" s="1"/>
      <c r="D3228" s="1"/>
      <c r="E3228" s="1"/>
      <c r="F3228" s="1"/>
      <c r="G3228" s="1"/>
      <c r="H3228" s="1"/>
    </row>
    <row r="3229" spans="2:8" ht="12.75">
      <c r="B3229" s="1"/>
      <c r="C3229" s="1"/>
      <c r="D3229" s="1"/>
      <c r="E3229" s="1"/>
      <c r="F3229" s="1"/>
      <c r="G3229" s="1"/>
      <c r="H3229" s="1"/>
    </row>
    <row r="3230" spans="2:8" ht="12.75">
      <c r="B3230" s="2" t="s">
        <v>0</v>
      </c>
      <c r="C3230" s="2"/>
      <c r="D3230" s="2"/>
      <c r="E3230" s="1"/>
      <c r="F3230" s="1"/>
      <c r="G3230" s="1"/>
      <c r="H3230" s="1"/>
    </row>
    <row r="3231" spans="2:8" ht="12.75">
      <c r="B3231" s="2" t="s">
        <v>65</v>
      </c>
      <c r="C3231" s="2"/>
      <c r="D3231" s="2"/>
      <c r="E3231" s="1"/>
      <c r="F3231" s="1"/>
      <c r="G3231" s="1"/>
      <c r="H3231" s="1"/>
    </row>
    <row r="3232" spans="2:8" ht="12.75">
      <c r="B3232" s="2" t="s">
        <v>191</v>
      </c>
      <c r="C3232" s="2"/>
      <c r="D3232" s="2"/>
      <c r="E3232" s="1"/>
      <c r="F3232" s="1"/>
      <c r="G3232" s="1"/>
      <c r="H3232" s="1"/>
    </row>
    <row r="3233" spans="2:8" ht="12.75">
      <c r="B3233" s="3"/>
      <c r="C3233" s="3"/>
      <c r="D3233" s="1"/>
      <c r="E3233" s="1"/>
      <c r="F3233" s="1"/>
      <c r="G3233" s="1"/>
      <c r="H3233" s="1"/>
    </row>
    <row r="3234" spans="2:8" ht="12.75">
      <c r="B3234" s="5" t="s">
        <v>4</v>
      </c>
      <c r="C3234" s="31" t="s">
        <v>40</v>
      </c>
      <c r="D3234" s="6" t="s">
        <v>41</v>
      </c>
      <c r="E3234" s="1"/>
      <c r="F3234" s="1"/>
      <c r="G3234" s="1"/>
      <c r="H3234" s="1"/>
    </row>
    <row r="3235" spans="2:8" ht="12.75">
      <c r="B3235" s="6"/>
      <c r="C3235" s="6"/>
      <c r="D3235" s="7"/>
      <c r="E3235" s="1"/>
      <c r="F3235" s="1"/>
      <c r="G3235" s="1"/>
      <c r="H3235" s="1"/>
    </row>
    <row r="3236" spans="2:8" ht="12.75">
      <c r="B3236" s="10" t="s">
        <v>42</v>
      </c>
      <c r="C3236" s="8">
        <v>945.6</v>
      </c>
      <c r="D3236" s="8"/>
      <c r="E3236" s="1"/>
      <c r="F3236" s="1"/>
      <c r="G3236" s="1"/>
      <c r="H3236" s="1"/>
    </row>
    <row r="3237" spans="2:8" ht="12.75">
      <c r="B3237" s="11" t="s">
        <v>13</v>
      </c>
      <c r="C3237" s="32">
        <v>18.38</v>
      </c>
      <c r="D3237" s="14">
        <f>C3237/945.6/12*1000</f>
        <v>1.6197828539199097</v>
      </c>
      <c r="E3237" s="1"/>
      <c r="F3237" s="1"/>
      <c r="G3237" s="1"/>
      <c r="H3237" s="1"/>
    </row>
    <row r="3238" spans="2:8" ht="12.75">
      <c r="B3238" s="15" t="s">
        <v>14</v>
      </c>
      <c r="C3238" s="9">
        <f>SUM(C3239:C3241)</f>
        <v>75.27000000000001</v>
      </c>
      <c r="D3238" s="9">
        <f>SUM(D3239:D3241)</f>
        <v>6.633354483925551</v>
      </c>
      <c r="E3238" s="1"/>
      <c r="F3238" s="1"/>
      <c r="G3238" s="1"/>
      <c r="H3238" s="1"/>
    </row>
    <row r="3239" spans="2:8" ht="12.75">
      <c r="B3239" s="6" t="s">
        <v>43</v>
      </c>
      <c r="C3239" s="8">
        <f>7.38+9.98</f>
        <v>17.36</v>
      </c>
      <c r="D3239" s="8">
        <f>C3239/945.6/12*1000</f>
        <v>1.5298928369994358</v>
      </c>
      <c r="E3239" s="1"/>
      <c r="F3239" s="1"/>
      <c r="G3239" s="1"/>
      <c r="H3239" s="1"/>
    </row>
    <row r="3240" spans="2:8" ht="12.75">
      <c r="B3240" s="17" t="s">
        <v>44</v>
      </c>
      <c r="C3240" s="8">
        <v>8.35</v>
      </c>
      <c r="D3240" s="8">
        <f>C3240/945.6/12*1000</f>
        <v>0.7358643542019176</v>
      </c>
      <c r="E3240" s="1"/>
      <c r="F3240" s="1"/>
      <c r="G3240" s="1"/>
      <c r="H3240" s="1"/>
    </row>
    <row r="3241" spans="2:8" ht="12.75">
      <c r="B3241" s="6" t="s">
        <v>16</v>
      </c>
      <c r="C3241" s="8">
        <v>49.56</v>
      </c>
      <c r="D3241" s="8">
        <f>C3241/945.6/12*1000</f>
        <v>4.367597292724197</v>
      </c>
      <c r="E3241" s="1"/>
      <c r="F3241" s="1"/>
      <c r="G3241" s="1"/>
      <c r="H3241" s="1"/>
    </row>
    <row r="3242" spans="2:8" ht="12.75">
      <c r="B3242" s="10" t="s">
        <v>19</v>
      </c>
      <c r="C3242" s="22">
        <f>SUM(C3243:C3246)</f>
        <v>18.38</v>
      </c>
      <c r="D3242" s="22">
        <f>SUM(D3243:D3246)</f>
        <v>1.6197828539199097</v>
      </c>
      <c r="E3242" s="1"/>
      <c r="F3242" s="1"/>
      <c r="G3242" s="1"/>
      <c r="H3242" s="1"/>
    </row>
    <row r="3243" spans="2:8" ht="12.75">
      <c r="B3243" s="6" t="s">
        <v>45</v>
      </c>
      <c r="C3243" s="8">
        <f>12.03+2.43+1.22</f>
        <v>15.68</v>
      </c>
      <c r="D3243" s="8">
        <f>C3243/945.6/12*1000</f>
        <v>1.3818386914833616</v>
      </c>
      <c r="E3243" s="1"/>
      <c r="F3243" s="1"/>
      <c r="G3243" s="1"/>
      <c r="H3243" s="1"/>
    </row>
    <row r="3244" spans="2:8" ht="12.75">
      <c r="B3244" s="6" t="s">
        <v>46</v>
      </c>
      <c r="C3244" s="8">
        <v>0</v>
      </c>
      <c r="D3244" s="8">
        <f>C3244/945.6/12*1000</f>
        <v>0</v>
      </c>
      <c r="E3244" s="1"/>
      <c r="F3244" s="1"/>
      <c r="G3244" s="1"/>
      <c r="H3244" s="1"/>
    </row>
    <row r="3245" spans="2:8" ht="12.75">
      <c r="B3245" s="20" t="s">
        <v>47</v>
      </c>
      <c r="C3245" s="8">
        <v>0.31</v>
      </c>
      <c r="D3245" s="8">
        <f>C3245/945.6/12*1000</f>
        <v>0.027319514946418502</v>
      </c>
      <c r="E3245" s="1"/>
      <c r="F3245" s="1"/>
      <c r="G3245" s="1"/>
      <c r="H3245" s="1"/>
    </row>
    <row r="3246" spans="2:8" ht="12.75">
      <c r="B3246" s="8" t="s">
        <v>48</v>
      </c>
      <c r="C3246" s="8">
        <v>2.39</v>
      </c>
      <c r="D3246" s="8">
        <f>C3246/945.6/12*1000</f>
        <v>0.21062464749012974</v>
      </c>
      <c r="E3246" s="1"/>
      <c r="F3246" s="1"/>
      <c r="G3246" s="1"/>
      <c r="H3246" s="1"/>
    </row>
    <row r="3247" spans="2:8" ht="12.75">
      <c r="B3247" s="14" t="s">
        <v>27</v>
      </c>
      <c r="C3247" s="14">
        <f>14.11+2.09</f>
        <v>16.2</v>
      </c>
      <c r="D3247" s="14">
        <f>C3247/945.6/12*1000</f>
        <v>1.4276649746192893</v>
      </c>
      <c r="E3247" s="1"/>
      <c r="F3247" s="1"/>
      <c r="G3247" s="1"/>
      <c r="H3247" s="1"/>
    </row>
    <row r="3248" spans="2:8" ht="12.75">
      <c r="B3248" s="14" t="s">
        <v>187</v>
      </c>
      <c r="C3248" s="14">
        <v>2.4</v>
      </c>
      <c r="D3248" s="14">
        <f>C3248/945.6/12*1000</f>
        <v>0.21150592216582065</v>
      </c>
      <c r="E3248" s="1"/>
      <c r="F3248" s="1"/>
      <c r="G3248" s="1"/>
      <c r="H3248" s="1"/>
    </row>
    <row r="3249" spans="2:8" ht="12.75">
      <c r="B3249" s="14" t="s">
        <v>29</v>
      </c>
      <c r="C3249" s="23">
        <f>C3237+C3238+C3242+C3247+C3248</f>
        <v>130.63</v>
      </c>
      <c r="D3249" s="23">
        <f>D3237+D3238+D3242+D3247+D3248</f>
        <v>11.51209108855048</v>
      </c>
      <c r="E3249" s="1"/>
      <c r="F3249" s="1"/>
      <c r="G3249" s="1"/>
      <c r="H3249" s="1"/>
    </row>
    <row r="3250" spans="2:8" ht="12.75">
      <c r="B3250" s="8" t="s">
        <v>51</v>
      </c>
      <c r="C3250" s="8">
        <v>13.06</v>
      </c>
      <c r="D3250" s="8">
        <f>C3250/945.6/12*1000</f>
        <v>1.1509447264523407</v>
      </c>
      <c r="E3250" s="1"/>
      <c r="F3250" s="1"/>
      <c r="G3250" s="1"/>
      <c r="H3250" s="1"/>
    </row>
    <row r="3251" spans="2:8" ht="12.75">
      <c r="B3251" s="14" t="s">
        <v>31</v>
      </c>
      <c r="C3251" s="23">
        <f>C3249+C3250</f>
        <v>143.69</v>
      </c>
      <c r="D3251" s="23">
        <f>D3249+D3250</f>
        <v>12.663035815002821</v>
      </c>
      <c r="E3251" s="1"/>
      <c r="F3251" s="1"/>
      <c r="G3251" s="1"/>
      <c r="H3251" s="1"/>
    </row>
    <row r="3252" spans="2:8" ht="12.75">
      <c r="B3252" s="6" t="s">
        <v>34</v>
      </c>
      <c r="C3252" s="23">
        <f>C3251/C3236/12*1000</f>
        <v>12.66303581500282</v>
      </c>
      <c r="D3252" s="8"/>
      <c r="E3252" s="1"/>
      <c r="F3252" s="1"/>
      <c r="G3252" s="1"/>
      <c r="H3252" s="1"/>
    </row>
    <row r="3253" spans="2:8" ht="12.75">
      <c r="B3253" s="2"/>
      <c r="C3253" s="2"/>
      <c r="D3253" s="2"/>
      <c r="E3253" s="1"/>
      <c r="F3253" s="1"/>
      <c r="G3253" s="1"/>
      <c r="H3253" s="1"/>
    </row>
    <row r="3254" spans="2:8" ht="12.75">
      <c r="B3254" s="1"/>
      <c r="C3254" s="1"/>
      <c r="D3254" s="1"/>
      <c r="E3254" s="1"/>
      <c r="F3254" s="1"/>
      <c r="G3254" s="1"/>
      <c r="H3254" s="1"/>
    </row>
    <row r="3255" spans="2:8" ht="12.75">
      <c r="B3255" s="1" t="s">
        <v>52</v>
      </c>
      <c r="C3255" s="1"/>
      <c r="D3255" s="1"/>
      <c r="E3255" s="1"/>
      <c r="F3255" s="1"/>
      <c r="G3255" s="1"/>
      <c r="H3255" s="1"/>
    </row>
    <row r="3256" spans="2:8" ht="12.75">
      <c r="B3256" s="1"/>
      <c r="C3256" s="1"/>
      <c r="D3256" s="1"/>
      <c r="E3256" s="1"/>
      <c r="F3256" s="1"/>
      <c r="G3256" s="1"/>
      <c r="H3256" s="1"/>
    </row>
    <row r="3257" spans="2:8" ht="12.75">
      <c r="B3257" s="2" t="s">
        <v>0</v>
      </c>
      <c r="C3257" s="2"/>
      <c r="D3257" s="2"/>
      <c r="E3257" s="1"/>
      <c r="F3257" s="1"/>
      <c r="G3257" s="1"/>
      <c r="H3257" s="1"/>
    </row>
    <row r="3258" spans="2:8" ht="12.75">
      <c r="B3258" s="2" t="s">
        <v>65</v>
      </c>
      <c r="C3258" s="2"/>
      <c r="D3258" s="2"/>
      <c r="E3258" s="1"/>
      <c r="F3258" s="1"/>
      <c r="G3258" s="1"/>
      <c r="H3258" s="1"/>
    </row>
    <row r="3259" spans="2:8" ht="12.75">
      <c r="B3259" s="2" t="s">
        <v>192</v>
      </c>
      <c r="C3259" s="2"/>
      <c r="D3259" s="2"/>
      <c r="E3259" s="1"/>
      <c r="F3259" s="1"/>
      <c r="G3259" s="1"/>
      <c r="H3259" s="1"/>
    </row>
    <row r="3260" spans="2:8" ht="12.75">
      <c r="B3260" s="3"/>
      <c r="C3260" s="3"/>
      <c r="D3260" s="1"/>
      <c r="E3260" s="1"/>
      <c r="F3260" s="1"/>
      <c r="G3260" s="1"/>
      <c r="H3260" s="1"/>
    </row>
    <row r="3261" spans="2:8" ht="12.75">
      <c r="B3261" s="5" t="s">
        <v>4</v>
      </c>
      <c r="C3261" s="31" t="s">
        <v>40</v>
      </c>
      <c r="D3261" s="6" t="s">
        <v>41</v>
      </c>
      <c r="E3261" s="1"/>
      <c r="F3261" s="1"/>
      <c r="G3261" s="1"/>
      <c r="H3261" s="1"/>
    </row>
    <row r="3262" spans="2:8" ht="12.75">
      <c r="B3262" s="6"/>
      <c r="C3262" s="6"/>
      <c r="D3262" s="7"/>
      <c r="E3262" s="1"/>
      <c r="F3262" s="1"/>
      <c r="G3262" s="1"/>
      <c r="H3262" s="1"/>
    </row>
    <row r="3263" spans="2:8" ht="12.75">
      <c r="B3263" s="10" t="s">
        <v>42</v>
      </c>
      <c r="C3263" s="8">
        <v>933.2</v>
      </c>
      <c r="D3263" s="8"/>
      <c r="E3263" s="1"/>
      <c r="F3263" s="1"/>
      <c r="G3263" s="1"/>
      <c r="H3263" s="1"/>
    </row>
    <row r="3264" spans="2:8" ht="12.75">
      <c r="B3264" s="11" t="s">
        <v>13</v>
      </c>
      <c r="C3264" s="32">
        <v>19.14</v>
      </c>
      <c r="D3264" s="14">
        <f>C3264/933.2/12*1000</f>
        <v>1.709172738962709</v>
      </c>
      <c r="E3264" s="1"/>
      <c r="F3264" s="1"/>
      <c r="G3264" s="1"/>
      <c r="H3264" s="1"/>
    </row>
    <row r="3265" spans="2:8" ht="12.75">
      <c r="B3265" s="15" t="s">
        <v>14</v>
      </c>
      <c r="C3265" s="9">
        <f>SUM(C3266:C3268)</f>
        <v>72.55</v>
      </c>
      <c r="D3265" s="9">
        <f>SUM(D3266:D3268)</f>
        <v>6.478604086298041</v>
      </c>
      <c r="E3265" s="1"/>
      <c r="F3265" s="1"/>
      <c r="G3265" s="1"/>
      <c r="H3265" s="1"/>
    </row>
    <row r="3266" spans="2:8" ht="12.75">
      <c r="B3266" s="6" t="s">
        <v>43</v>
      </c>
      <c r="C3266" s="8">
        <f>7.28+9.85</f>
        <v>17.13</v>
      </c>
      <c r="D3266" s="8">
        <f>C3266/933.2/12*1000</f>
        <v>1.5296828118302612</v>
      </c>
      <c r="E3266" s="1"/>
      <c r="F3266" s="1"/>
      <c r="G3266" s="1"/>
      <c r="H3266" s="1"/>
    </row>
    <row r="3267" spans="2:8" ht="12.75">
      <c r="B3267" s="17" t="s">
        <v>44</v>
      </c>
      <c r="C3267" s="8">
        <v>8.24</v>
      </c>
      <c r="D3267" s="8">
        <f>C3267/933.2/12*1000</f>
        <v>0.7358194027718246</v>
      </c>
      <c r="E3267" s="1"/>
      <c r="F3267" s="1"/>
      <c r="G3267" s="1"/>
      <c r="H3267" s="1"/>
    </row>
    <row r="3268" spans="2:8" ht="12.75">
      <c r="B3268" s="6" t="s">
        <v>16</v>
      </c>
      <c r="C3268" s="8">
        <v>47.18</v>
      </c>
      <c r="D3268" s="8">
        <f>C3268/933.2/12*1000</f>
        <v>4.213101871695956</v>
      </c>
      <c r="E3268" s="1"/>
      <c r="F3268" s="1"/>
      <c r="G3268" s="1"/>
      <c r="H3268" s="1"/>
    </row>
    <row r="3269" spans="2:8" ht="12.75">
      <c r="B3269" s="10" t="s">
        <v>19</v>
      </c>
      <c r="C3269" s="22">
        <f>SUM(C3270:C3273)</f>
        <v>18.68</v>
      </c>
      <c r="D3269" s="22">
        <f>SUM(D3270:D3273)</f>
        <v>1.6680954422060295</v>
      </c>
      <c r="E3269" s="1"/>
      <c r="F3269" s="1"/>
      <c r="G3269" s="1"/>
      <c r="H3269" s="1"/>
    </row>
    <row r="3270" spans="2:8" ht="12.75">
      <c r="B3270" s="6" t="s">
        <v>45</v>
      </c>
      <c r="C3270" s="8">
        <f>12.26+2.48+1.24</f>
        <v>15.98</v>
      </c>
      <c r="D3270" s="8">
        <f>C3270/933.2/12*1000</f>
        <v>1.4269895699385626</v>
      </c>
      <c r="E3270" s="1"/>
      <c r="F3270" s="1"/>
      <c r="G3270" s="1"/>
      <c r="H3270" s="1"/>
    </row>
    <row r="3271" spans="2:8" ht="12.75">
      <c r="B3271" s="6" t="s">
        <v>46</v>
      </c>
      <c r="C3271" s="8">
        <v>0</v>
      </c>
      <c r="D3271" s="8">
        <f>C3271/933.2/12*1000</f>
        <v>0</v>
      </c>
      <c r="E3271" s="1"/>
      <c r="F3271" s="1"/>
      <c r="G3271" s="1"/>
      <c r="H3271" s="1"/>
    </row>
    <row r="3272" spans="2:8" ht="12.75">
      <c r="B3272" s="20" t="s">
        <v>47</v>
      </c>
      <c r="C3272" s="8">
        <v>0.31</v>
      </c>
      <c r="D3272" s="8">
        <f>C3272/933.2/12*1000</f>
        <v>0.027682526075153594</v>
      </c>
      <c r="E3272" s="1"/>
      <c r="F3272" s="1"/>
      <c r="G3272" s="1"/>
      <c r="H3272" s="1"/>
    </row>
    <row r="3273" spans="2:8" ht="12.75">
      <c r="B3273" s="8" t="s">
        <v>48</v>
      </c>
      <c r="C3273" s="8">
        <v>2.39</v>
      </c>
      <c r="D3273" s="8">
        <f>C3273/933.2/12*1000</f>
        <v>0.2134233461923132</v>
      </c>
      <c r="E3273" s="1"/>
      <c r="F3273" s="1"/>
      <c r="G3273" s="1"/>
      <c r="H3273" s="1"/>
    </row>
    <row r="3274" spans="2:8" ht="12.75">
      <c r="B3274" s="14" t="s">
        <v>27</v>
      </c>
      <c r="C3274" s="14">
        <f>13.92+2.18</f>
        <v>16.1</v>
      </c>
      <c r="D3274" s="14">
        <f>C3274/933.2/12*1000</f>
        <v>1.4377053864837834</v>
      </c>
      <c r="E3274" s="1"/>
      <c r="F3274" s="1"/>
      <c r="G3274" s="1"/>
      <c r="H3274" s="1"/>
    </row>
    <row r="3275" spans="2:8" ht="12.75">
      <c r="B3275" s="14" t="s">
        <v>187</v>
      </c>
      <c r="C3275" s="14">
        <v>2.4</v>
      </c>
      <c r="D3275" s="14">
        <f>C3275/933.2/12*1000</f>
        <v>0.21431633090441488</v>
      </c>
      <c r="E3275" s="1"/>
      <c r="F3275" s="1"/>
      <c r="G3275" s="1"/>
      <c r="H3275" s="1"/>
    </row>
    <row r="3276" spans="2:8" ht="12.75">
      <c r="B3276" s="14" t="s">
        <v>29</v>
      </c>
      <c r="C3276" s="23">
        <f>C3264+C3265+C3269+C3274+C3275</f>
        <v>128.87</v>
      </c>
      <c r="D3276" s="23">
        <f>D3264+D3265+D3269+D3274+D3275</f>
        <v>11.507893984854977</v>
      </c>
      <c r="E3276" s="1"/>
      <c r="F3276" s="1"/>
      <c r="G3276" s="1"/>
      <c r="H3276" s="1"/>
    </row>
    <row r="3277" spans="2:8" ht="12.75">
      <c r="B3277" s="8" t="s">
        <v>51</v>
      </c>
      <c r="C3277" s="8">
        <v>12.89</v>
      </c>
      <c r="D3277" s="8">
        <f>C3277/933.2/12*1000</f>
        <v>1.1510572938991284</v>
      </c>
      <c r="E3277" s="1"/>
      <c r="F3277" s="1"/>
      <c r="G3277" s="1"/>
      <c r="H3277" s="1"/>
    </row>
    <row r="3278" spans="2:8" ht="12.75">
      <c r="B3278" s="14" t="s">
        <v>31</v>
      </c>
      <c r="C3278" s="23">
        <f>C3276+C3277</f>
        <v>141.76</v>
      </c>
      <c r="D3278" s="23">
        <f>D3276+D3277</f>
        <v>12.658951278754106</v>
      </c>
      <c r="E3278" s="1"/>
      <c r="F3278" s="1"/>
      <c r="G3278" s="1"/>
      <c r="H3278" s="1"/>
    </row>
    <row r="3279" spans="2:8" ht="12.75">
      <c r="B3279" s="6" t="s">
        <v>34</v>
      </c>
      <c r="C3279" s="23">
        <f>C3278/C3263/12*1000</f>
        <v>12.658951278754106</v>
      </c>
      <c r="D3279" s="8"/>
      <c r="E3279" s="1"/>
      <c r="F3279" s="1"/>
      <c r="G3279" s="1"/>
      <c r="H3279" s="1"/>
    </row>
    <row r="3280" spans="2:8" ht="12.75">
      <c r="B3280" s="1"/>
      <c r="C3280" s="1"/>
      <c r="D3280" s="1"/>
      <c r="E3280" s="1"/>
      <c r="F3280" s="1"/>
      <c r="G3280" s="1"/>
      <c r="H3280" s="1"/>
    </row>
    <row r="3281" spans="2:8" ht="12.75">
      <c r="B3281" s="1" t="s">
        <v>52</v>
      </c>
      <c r="C3281" s="1"/>
      <c r="D3281" s="1"/>
      <c r="E3281" s="1"/>
      <c r="F3281" s="1"/>
      <c r="G3281" s="1"/>
      <c r="H3281" s="1"/>
    </row>
    <row r="3282" spans="2:8" ht="12.75">
      <c r="B3282" s="1"/>
      <c r="C3282" s="1"/>
      <c r="D3282" s="1"/>
      <c r="E3282" s="1"/>
      <c r="F3282" s="1"/>
      <c r="G3282" s="1"/>
      <c r="H3282" s="1"/>
    </row>
    <row r="3283" spans="2:8" ht="12.75">
      <c r="B3283" s="2" t="s">
        <v>0</v>
      </c>
      <c r="C3283" s="2"/>
      <c r="D3283" s="2"/>
      <c r="E3283" s="1"/>
      <c r="F3283" s="1"/>
      <c r="G3283" s="1"/>
      <c r="H3283" s="1"/>
    </row>
    <row r="3284" spans="2:8" ht="12.75">
      <c r="B3284" s="2" t="s">
        <v>65</v>
      </c>
      <c r="C3284" s="2"/>
      <c r="D3284" s="2"/>
      <c r="E3284" s="1"/>
      <c r="F3284" s="1"/>
      <c r="G3284" s="1"/>
      <c r="H3284" s="1"/>
    </row>
    <row r="3285" spans="2:8" ht="12.75">
      <c r="B3285" s="2" t="s">
        <v>193</v>
      </c>
      <c r="C3285" s="2"/>
      <c r="D3285" s="2"/>
      <c r="E3285" s="1"/>
      <c r="F3285" s="1"/>
      <c r="G3285" s="1"/>
      <c r="H3285" s="1"/>
    </row>
    <row r="3286" spans="2:8" ht="12.75">
      <c r="B3286" s="3"/>
      <c r="C3286" s="3"/>
      <c r="D3286" s="1"/>
      <c r="E3286" s="1"/>
      <c r="F3286" s="1"/>
      <c r="G3286" s="1"/>
      <c r="H3286" s="1"/>
    </row>
    <row r="3287" spans="2:8" ht="12.75">
      <c r="B3287" s="5" t="s">
        <v>4</v>
      </c>
      <c r="C3287" s="31" t="s">
        <v>40</v>
      </c>
      <c r="D3287" s="6" t="s">
        <v>41</v>
      </c>
      <c r="E3287" s="1"/>
      <c r="F3287" s="1"/>
      <c r="G3287" s="1"/>
      <c r="H3287" s="1"/>
    </row>
    <row r="3288" spans="2:8" ht="12.75">
      <c r="B3288" s="6"/>
      <c r="C3288" s="6"/>
      <c r="D3288" s="7"/>
      <c r="E3288" s="1"/>
      <c r="F3288" s="1"/>
      <c r="G3288" s="1"/>
      <c r="H3288" s="1"/>
    </row>
    <row r="3289" spans="2:8" ht="12.75">
      <c r="B3289" s="10" t="s">
        <v>42</v>
      </c>
      <c r="C3289" s="8">
        <v>937.2</v>
      </c>
      <c r="D3289" s="8"/>
      <c r="E3289" s="1"/>
      <c r="F3289" s="1"/>
      <c r="G3289" s="1"/>
      <c r="H3289" s="1"/>
    </row>
    <row r="3290" spans="2:8" ht="12.75">
      <c r="B3290" s="11" t="s">
        <v>13</v>
      </c>
      <c r="C3290" s="32">
        <v>19.22</v>
      </c>
      <c r="D3290" s="14">
        <f>C3290/937.2/12*1000</f>
        <v>1.7089913216673778</v>
      </c>
      <c r="E3290" s="1"/>
      <c r="F3290" s="1"/>
      <c r="G3290" s="1"/>
      <c r="H3290" s="1"/>
    </row>
    <row r="3291" spans="2:8" ht="12.75">
      <c r="B3291" s="15" t="s">
        <v>14</v>
      </c>
      <c r="C3291" s="9">
        <f>SUM(C3292:C3294)</f>
        <v>72.81</v>
      </c>
      <c r="D3291" s="9">
        <f>SUM(D3292:D3294)</f>
        <v>6.474071702944943</v>
      </c>
      <c r="E3291" s="1"/>
      <c r="F3291" s="1"/>
      <c r="G3291" s="1"/>
      <c r="H3291" s="1"/>
    </row>
    <row r="3292" spans="2:8" ht="12.75">
      <c r="B3292" s="6" t="s">
        <v>43</v>
      </c>
      <c r="C3292" s="8">
        <f>7.31+9.9</f>
        <v>17.21</v>
      </c>
      <c r="D3292" s="8">
        <f>C3292/937.2/12*1000</f>
        <v>1.530267463366055</v>
      </c>
      <c r="E3292" s="1"/>
      <c r="F3292" s="1"/>
      <c r="G3292" s="1"/>
      <c r="H3292" s="1"/>
    </row>
    <row r="3293" spans="2:8" ht="12.75">
      <c r="B3293" s="17" t="s">
        <v>44</v>
      </c>
      <c r="C3293" s="8">
        <v>8.28</v>
      </c>
      <c r="D3293" s="8">
        <f>C3293/937.2/12*1000</f>
        <v>0.736235595390525</v>
      </c>
      <c r="E3293" s="1"/>
      <c r="F3293" s="1"/>
      <c r="G3293" s="1"/>
      <c r="H3293" s="1"/>
    </row>
    <row r="3294" spans="2:8" ht="12.75">
      <c r="B3294" s="6" t="s">
        <v>16</v>
      </c>
      <c r="C3294" s="8">
        <v>47.32</v>
      </c>
      <c r="D3294" s="8">
        <f>C3294/937.2/12*1000</f>
        <v>4.207568644188362</v>
      </c>
      <c r="E3294" s="1"/>
      <c r="F3294" s="1"/>
      <c r="G3294" s="1"/>
      <c r="H3294" s="1"/>
    </row>
    <row r="3295" spans="2:8" ht="12.75">
      <c r="B3295" s="10" t="s">
        <v>19</v>
      </c>
      <c r="C3295" s="22">
        <f>SUM(C3296:C3299)</f>
        <v>18.85</v>
      </c>
      <c r="D3295" s="22">
        <f>SUM(D3296:D3299)</f>
        <v>1.6760919049651442</v>
      </c>
      <c r="E3295" s="1"/>
      <c r="F3295" s="1"/>
      <c r="G3295" s="1"/>
      <c r="H3295" s="1"/>
    </row>
    <row r="3296" spans="2:8" ht="12.75">
      <c r="B3296" s="6" t="s">
        <v>45</v>
      </c>
      <c r="C3296" s="8">
        <f>12.27+2.48+1.24</f>
        <v>15.99</v>
      </c>
      <c r="D3296" s="8">
        <f>C3296/937.2/12*1000</f>
        <v>1.4217883055911222</v>
      </c>
      <c r="E3296" s="1"/>
      <c r="F3296" s="1"/>
      <c r="G3296" s="1"/>
      <c r="H3296" s="1"/>
    </row>
    <row r="3297" spans="2:8" ht="12.75">
      <c r="B3297" s="6" t="s">
        <v>46</v>
      </c>
      <c r="C3297" s="8">
        <v>0</v>
      </c>
      <c r="D3297" s="8">
        <f>C3297/937.2/12*1000</f>
        <v>0</v>
      </c>
      <c r="E3297" s="1"/>
      <c r="F3297" s="1"/>
      <c r="G3297" s="1"/>
      <c r="H3297" s="1"/>
    </row>
    <row r="3298" spans="2:8" ht="12.75">
      <c r="B3298" s="20" t="s">
        <v>47</v>
      </c>
      <c r="C3298" s="8">
        <v>0.47</v>
      </c>
      <c r="D3298" s="8">
        <f>C3298/937.2/12*1000</f>
        <v>0.04179115094608052</v>
      </c>
      <c r="E3298" s="1"/>
      <c r="F3298" s="1"/>
      <c r="G3298" s="1"/>
      <c r="H3298" s="1"/>
    </row>
    <row r="3299" spans="2:8" ht="12.75">
      <c r="B3299" s="8" t="s">
        <v>48</v>
      </c>
      <c r="C3299" s="8">
        <v>2.39</v>
      </c>
      <c r="D3299" s="8">
        <f>C3299/937.2/12*1000</f>
        <v>0.2125124484279414</v>
      </c>
      <c r="E3299" s="1"/>
      <c r="F3299" s="1"/>
      <c r="G3299" s="1"/>
      <c r="H3299" s="1"/>
    </row>
    <row r="3300" spans="2:8" ht="12.75">
      <c r="B3300" s="14" t="s">
        <v>27</v>
      </c>
      <c r="C3300" s="14">
        <f>13.97+2.19</f>
        <v>16.16</v>
      </c>
      <c r="D3300" s="14">
        <f>C3300/937.2/12*1000</f>
        <v>1.4369042538056622</v>
      </c>
      <c r="E3300" s="1"/>
      <c r="F3300" s="1"/>
      <c r="G3300" s="1"/>
      <c r="H3300" s="1"/>
    </row>
    <row r="3301" spans="2:8" ht="12.75">
      <c r="B3301" s="14" t="s">
        <v>187</v>
      </c>
      <c r="C3301" s="14">
        <v>2.4</v>
      </c>
      <c r="D3301" s="14">
        <f>C3301/937.2/12*1000</f>
        <v>0.21340162185232606</v>
      </c>
      <c r="E3301" s="1"/>
      <c r="F3301" s="1"/>
      <c r="G3301" s="1"/>
      <c r="H3301" s="1"/>
    </row>
    <row r="3302" spans="2:8" ht="12.75">
      <c r="B3302" s="14" t="s">
        <v>29</v>
      </c>
      <c r="C3302" s="23">
        <f>C3290+C3291+C3295+C3300+C3301</f>
        <v>129.44</v>
      </c>
      <c r="D3302" s="23">
        <f>D3290+D3291+D3295+D3300+D3301</f>
        <v>11.509460805235452</v>
      </c>
      <c r="E3302" s="1"/>
      <c r="F3302" s="1"/>
      <c r="G3302" s="1"/>
      <c r="H3302" s="1"/>
    </row>
    <row r="3303" spans="2:8" ht="12.75">
      <c r="B3303" s="8" t="s">
        <v>51</v>
      </c>
      <c r="C3303" s="8">
        <v>12.94</v>
      </c>
      <c r="D3303" s="8">
        <f>C3303/937.2/12*1000</f>
        <v>1.1505904111537912</v>
      </c>
      <c r="E3303" s="1"/>
      <c r="F3303" s="1"/>
      <c r="G3303" s="1"/>
      <c r="H3303" s="1"/>
    </row>
    <row r="3304" spans="2:8" ht="12.75">
      <c r="B3304" s="14" t="s">
        <v>31</v>
      </c>
      <c r="C3304" s="23">
        <f>C3302+C3303</f>
        <v>142.38</v>
      </c>
      <c r="D3304" s="23">
        <f>D3302+D3303</f>
        <v>12.660051216389244</v>
      </c>
      <c r="E3304" s="1"/>
      <c r="F3304" s="1"/>
      <c r="G3304" s="1"/>
      <c r="H3304" s="1"/>
    </row>
    <row r="3305" spans="2:8" ht="12.75">
      <c r="B3305" s="6" t="s">
        <v>34</v>
      </c>
      <c r="C3305" s="23">
        <f>C3304/C3289/12*1000</f>
        <v>12.660051216389244</v>
      </c>
      <c r="D3305" s="8"/>
      <c r="E3305" s="1"/>
      <c r="F3305" s="1"/>
      <c r="G3305" s="1"/>
      <c r="H3305" s="1"/>
    </row>
    <row r="3306" spans="2:8" ht="12.75">
      <c r="B3306" s="1"/>
      <c r="C3306" s="1"/>
      <c r="D3306" s="1"/>
      <c r="E3306" s="1"/>
      <c r="F3306" s="1"/>
      <c r="G3306" s="1"/>
      <c r="H3306" s="1"/>
    </row>
    <row r="3307" spans="2:8" ht="12.75">
      <c r="B3307" s="1" t="s">
        <v>52</v>
      </c>
      <c r="C3307" s="1"/>
      <c r="D3307" s="1"/>
      <c r="E3307" s="1"/>
      <c r="F3307" s="1"/>
      <c r="G3307" s="1"/>
      <c r="H3307" s="1"/>
    </row>
    <row r="3308" spans="2:8" ht="12.75">
      <c r="B3308" s="1"/>
      <c r="C3308" s="1"/>
      <c r="D3308" s="1"/>
      <c r="E3308" s="1"/>
      <c r="F3308" s="1"/>
      <c r="G3308" s="1"/>
      <c r="H3308" s="1"/>
    </row>
    <row r="3309" spans="2:8" ht="12.75">
      <c r="B3309" s="2" t="s">
        <v>0</v>
      </c>
      <c r="C3309" s="2"/>
      <c r="D3309" s="2"/>
      <c r="E3309" s="1"/>
      <c r="F3309" s="1"/>
      <c r="G3309" s="1"/>
      <c r="H3309" s="1"/>
    </row>
    <row r="3310" spans="2:8" ht="12.75">
      <c r="B3310" s="2" t="s">
        <v>65</v>
      </c>
      <c r="C3310" s="2"/>
      <c r="D3310" s="2"/>
      <c r="E3310" s="1"/>
      <c r="F3310" s="1"/>
      <c r="G3310" s="1"/>
      <c r="H3310" s="1"/>
    </row>
    <row r="3311" spans="2:8" ht="12.75">
      <c r="B3311" s="2" t="s">
        <v>194</v>
      </c>
      <c r="C3311" s="2"/>
      <c r="D3311" s="2"/>
      <c r="E3311" s="1"/>
      <c r="F3311" s="1"/>
      <c r="G3311" s="1"/>
      <c r="H3311" s="1"/>
    </row>
    <row r="3312" spans="2:8" ht="12.75">
      <c r="B3312" s="3"/>
      <c r="C3312" s="3"/>
      <c r="D3312" s="1"/>
      <c r="E3312" s="1"/>
      <c r="F3312" s="1"/>
      <c r="G3312" s="1"/>
      <c r="H3312" s="1"/>
    </row>
    <row r="3313" spans="2:8" ht="12.75">
      <c r="B3313" s="5" t="s">
        <v>4</v>
      </c>
      <c r="C3313" s="31" t="s">
        <v>40</v>
      </c>
      <c r="D3313" s="6" t="s">
        <v>41</v>
      </c>
      <c r="E3313" s="1"/>
      <c r="F3313" s="1"/>
      <c r="G3313" s="1"/>
      <c r="H3313" s="1"/>
    </row>
    <row r="3314" spans="2:8" ht="12.75">
      <c r="B3314" s="6"/>
      <c r="C3314" s="6"/>
      <c r="D3314" s="7"/>
      <c r="E3314" s="1"/>
      <c r="F3314" s="1"/>
      <c r="G3314" s="1"/>
      <c r="H3314" s="1"/>
    </row>
    <row r="3315" spans="2:8" ht="12.75">
      <c r="B3315" s="10" t="s">
        <v>42</v>
      </c>
      <c r="C3315" s="8">
        <v>1724.5</v>
      </c>
      <c r="D3315" s="8"/>
      <c r="E3315" s="1"/>
      <c r="F3315" s="1"/>
      <c r="G3315" s="1"/>
      <c r="H3315" s="1"/>
    </row>
    <row r="3316" spans="2:8" ht="12.75">
      <c r="B3316" s="11" t="s">
        <v>13</v>
      </c>
      <c r="C3316" s="32">
        <v>35.37</v>
      </c>
      <c r="D3316" s="14">
        <f>C3316/1724.8/12*1000</f>
        <v>1.7088937847866417</v>
      </c>
      <c r="E3316" s="1"/>
      <c r="F3316" s="1"/>
      <c r="G3316" s="1"/>
      <c r="H3316" s="1"/>
    </row>
    <row r="3317" spans="2:8" ht="12.75">
      <c r="B3317" s="15" t="s">
        <v>14</v>
      </c>
      <c r="C3317" s="9">
        <f>SUM(C3318:C3320)</f>
        <v>136.97</v>
      </c>
      <c r="D3317" s="9">
        <f>SUM(D3318:D3320)</f>
        <v>6.617675479282623</v>
      </c>
      <c r="E3317" s="1"/>
      <c r="F3317" s="1"/>
      <c r="G3317" s="1"/>
      <c r="H3317" s="1"/>
    </row>
    <row r="3318" spans="2:8" ht="12.75">
      <c r="B3318" s="6" t="s">
        <v>43</v>
      </c>
      <c r="C3318" s="8">
        <f>13.45+18.21</f>
        <v>31.66</v>
      </c>
      <c r="D3318" s="8">
        <f>C3318/1724.8/12*1000</f>
        <v>1.5296459492888066</v>
      </c>
      <c r="E3318" s="1"/>
      <c r="F3318" s="1"/>
      <c r="G3318" s="1"/>
      <c r="H3318" s="1"/>
    </row>
    <row r="3319" spans="2:8" ht="12.75">
      <c r="B3319" s="17" t="s">
        <v>44</v>
      </c>
      <c r="C3319" s="8">
        <v>15.23</v>
      </c>
      <c r="D3319" s="8">
        <f>C3319/1724.8/12*1000</f>
        <v>0.7358341063698207</v>
      </c>
      <c r="E3319" s="1"/>
      <c r="F3319" s="1"/>
      <c r="G3319" s="1"/>
      <c r="H3319" s="1"/>
    </row>
    <row r="3320" spans="2:8" ht="12.75">
      <c r="B3320" s="6" t="s">
        <v>16</v>
      </c>
      <c r="C3320" s="8">
        <v>90.08</v>
      </c>
      <c r="D3320" s="8">
        <f>C3320/1724.8/12*1000</f>
        <v>4.352195423623995</v>
      </c>
      <c r="E3320" s="1"/>
      <c r="F3320" s="1"/>
      <c r="G3320" s="1"/>
      <c r="H3320" s="1"/>
    </row>
    <row r="3321" spans="2:8" ht="12.75">
      <c r="B3321" s="10" t="s">
        <v>19</v>
      </c>
      <c r="C3321" s="22">
        <f>SUM(C3322:C3325)</f>
        <v>33.69</v>
      </c>
      <c r="D3321" s="22">
        <f>SUM(D3322:D3325)</f>
        <v>1.6277249536178107</v>
      </c>
      <c r="E3321" s="1"/>
      <c r="F3321" s="1"/>
      <c r="G3321" s="1"/>
      <c r="H3321" s="1"/>
    </row>
    <row r="3322" spans="2:8" ht="12.75">
      <c r="B3322" s="6" t="s">
        <v>45</v>
      </c>
      <c r="C3322" s="8">
        <f>21.9+4.42+2.22</f>
        <v>28.54</v>
      </c>
      <c r="D3322" s="8">
        <f>C3322/1724.8/12*1000</f>
        <v>1.378903834260977</v>
      </c>
      <c r="E3322" s="1"/>
      <c r="F3322" s="1"/>
      <c r="G3322" s="1"/>
      <c r="H3322" s="1"/>
    </row>
    <row r="3323" spans="2:8" ht="12.75">
      <c r="B3323" s="6" t="s">
        <v>46</v>
      </c>
      <c r="C3323" s="8">
        <v>0</v>
      </c>
      <c r="D3323" s="8">
        <f>C3323/1724.8/12*1000</f>
        <v>0</v>
      </c>
      <c r="E3323" s="1"/>
      <c r="F3323" s="1"/>
      <c r="G3323" s="1"/>
      <c r="H3323" s="1"/>
    </row>
    <row r="3324" spans="2:8" ht="12.75">
      <c r="B3324" s="20" t="s">
        <v>47</v>
      </c>
      <c r="C3324" s="8">
        <v>0.9</v>
      </c>
      <c r="D3324" s="8">
        <f>C3324/1724.8/12*1000</f>
        <v>0.04348330241187384</v>
      </c>
      <c r="E3324" s="1"/>
      <c r="F3324" s="1"/>
      <c r="G3324" s="1"/>
      <c r="H3324" s="1"/>
    </row>
    <row r="3325" spans="2:8" ht="12.75">
      <c r="B3325" s="8" t="s">
        <v>48</v>
      </c>
      <c r="C3325" s="8">
        <v>4.25</v>
      </c>
      <c r="D3325" s="8">
        <f>C3325/1724.8/12*1000</f>
        <v>0.2053378169449598</v>
      </c>
      <c r="E3325" s="1"/>
      <c r="F3325" s="1"/>
      <c r="G3325" s="1"/>
      <c r="H3325" s="1"/>
    </row>
    <row r="3326" spans="2:8" ht="12.75">
      <c r="B3326" s="14" t="s">
        <v>27</v>
      </c>
      <c r="C3326" s="14">
        <f>25.73+4.02</f>
        <v>29.75</v>
      </c>
      <c r="D3326" s="14">
        <f>C3326/1724.8/12*1000</f>
        <v>1.4373647186147187</v>
      </c>
      <c r="E3326" s="1"/>
      <c r="F3326" s="1"/>
      <c r="G3326" s="1"/>
      <c r="H3326" s="1"/>
    </row>
    <row r="3327" spans="2:8" ht="12.75">
      <c r="B3327" s="14" t="s">
        <v>187</v>
      </c>
      <c r="C3327" s="14">
        <v>2.4</v>
      </c>
      <c r="D3327" s="14">
        <f>C3327/1724.8/12*1000</f>
        <v>0.11595547309833024</v>
      </c>
      <c r="E3327" s="1"/>
      <c r="F3327" s="1"/>
      <c r="G3327" s="1"/>
      <c r="H3327" s="1"/>
    </row>
    <row r="3328" spans="2:8" ht="12.75">
      <c r="B3328" s="14" t="s">
        <v>29</v>
      </c>
      <c r="C3328" s="23">
        <f>C3316+C3317+C3321+C3326+C3327</f>
        <v>238.18</v>
      </c>
      <c r="D3328" s="23">
        <f>D3316+D3317+D3321+D3326+D3327</f>
        <v>11.507614409400123</v>
      </c>
      <c r="E3328" s="1"/>
      <c r="F3328" s="1"/>
      <c r="G3328" s="1"/>
      <c r="H3328" s="1"/>
    </row>
    <row r="3329" spans="2:8" ht="12.75">
      <c r="B3329" s="8" t="s">
        <v>51</v>
      </c>
      <c r="C3329" s="8">
        <v>23.82</v>
      </c>
      <c r="D3329" s="8">
        <f>C3329/1724.8/12*1000</f>
        <v>1.1508580705009277</v>
      </c>
      <c r="E3329" s="1"/>
      <c r="F3329" s="1"/>
      <c r="G3329" s="1"/>
      <c r="H3329" s="1"/>
    </row>
    <row r="3330" spans="2:8" ht="12.75">
      <c r="B3330" s="14" t="s">
        <v>31</v>
      </c>
      <c r="C3330" s="23">
        <f>C3328+C3329</f>
        <v>262</v>
      </c>
      <c r="D3330" s="23">
        <f>D3328+D3329</f>
        <v>12.65847247990105</v>
      </c>
      <c r="E3330" s="1"/>
      <c r="F3330" s="1"/>
      <c r="G3330" s="1"/>
      <c r="H3330" s="1"/>
    </row>
    <row r="3331" spans="2:8" ht="12.75">
      <c r="B3331" s="6" t="s">
        <v>34</v>
      </c>
      <c r="C3331" s="23">
        <f>C3330/C3315/12*1000</f>
        <v>12.660674591669084</v>
      </c>
      <c r="D3331" s="8"/>
      <c r="E3331" s="1"/>
      <c r="F3331" s="1"/>
      <c r="G3331" s="1"/>
      <c r="H3331" s="1"/>
    </row>
    <row r="3332" spans="2:8" ht="12.75">
      <c r="B3332" s="1"/>
      <c r="C3332" s="1"/>
      <c r="D3332" s="1"/>
      <c r="E3332" s="1"/>
      <c r="F3332" s="1"/>
      <c r="G3332" s="1"/>
      <c r="H3332" s="1"/>
    </row>
    <row r="3333" spans="2:8" ht="12.75">
      <c r="B3333" s="1" t="s">
        <v>52</v>
      </c>
      <c r="C3333" s="1"/>
      <c r="D3333" s="1"/>
      <c r="E3333" s="1"/>
      <c r="F3333" s="1"/>
      <c r="G3333" s="1"/>
      <c r="H3333" s="1"/>
    </row>
    <row r="3334" spans="2:8" ht="12.75">
      <c r="B3334" s="1"/>
      <c r="C3334" s="1"/>
      <c r="D3334" s="1"/>
      <c r="E3334" s="1"/>
      <c r="F3334" s="1"/>
      <c r="G3334" s="1"/>
      <c r="H3334" s="1"/>
    </row>
    <row r="3335" spans="2:8" ht="12.75">
      <c r="B3335" s="2" t="s">
        <v>0</v>
      </c>
      <c r="C3335" s="2"/>
      <c r="D3335" s="2"/>
      <c r="E3335" s="1"/>
      <c r="F3335" s="1"/>
      <c r="G3335" s="1"/>
      <c r="H3335" s="1"/>
    </row>
    <row r="3336" spans="2:8" ht="12.75">
      <c r="B3336" s="2" t="s">
        <v>65</v>
      </c>
      <c r="C3336" s="2"/>
      <c r="D3336" s="2"/>
      <c r="E3336" s="1"/>
      <c r="F3336" s="1"/>
      <c r="G3336" s="1"/>
      <c r="H3336" s="1"/>
    </row>
    <row r="3337" spans="2:8" ht="12.75">
      <c r="B3337" s="2" t="s">
        <v>195</v>
      </c>
      <c r="C3337" s="2"/>
      <c r="D3337" s="2"/>
      <c r="E3337" s="1"/>
      <c r="F3337" s="1"/>
      <c r="G3337" s="1"/>
      <c r="H3337" s="1"/>
    </row>
    <row r="3338" spans="2:8" ht="12.75">
      <c r="B3338" s="3"/>
      <c r="C3338" s="3"/>
      <c r="D3338" s="1"/>
      <c r="E3338" s="1"/>
      <c r="F3338" s="1"/>
      <c r="G3338" s="1"/>
      <c r="H3338" s="1"/>
    </row>
    <row r="3339" spans="2:8" ht="12.75">
      <c r="B3339" s="5" t="s">
        <v>4</v>
      </c>
      <c r="C3339" s="31" t="s">
        <v>40</v>
      </c>
      <c r="D3339" s="6" t="s">
        <v>41</v>
      </c>
      <c r="E3339" s="1"/>
      <c r="F3339" s="1"/>
      <c r="G3339" s="1"/>
      <c r="H3339" s="1"/>
    </row>
    <row r="3340" spans="2:8" ht="12.75">
      <c r="B3340" s="6"/>
      <c r="C3340" s="6"/>
      <c r="D3340" s="7"/>
      <c r="E3340" s="1"/>
      <c r="F3340" s="1"/>
      <c r="G3340" s="1"/>
      <c r="H3340" s="1"/>
    </row>
    <row r="3341" spans="2:8" ht="12.75">
      <c r="B3341" s="10" t="s">
        <v>42</v>
      </c>
      <c r="C3341" s="8">
        <v>1762.9</v>
      </c>
      <c r="D3341" s="8"/>
      <c r="E3341" s="1"/>
      <c r="F3341" s="1"/>
      <c r="G3341" s="1"/>
      <c r="H3341" s="1"/>
    </row>
    <row r="3342" spans="2:8" ht="12.75">
      <c r="B3342" s="11" t="s">
        <v>13</v>
      </c>
      <c r="C3342" s="32">
        <v>36.16</v>
      </c>
      <c r="D3342" s="14">
        <f>C3342/1762.9/12*1000</f>
        <v>1.7093047440769942</v>
      </c>
      <c r="E3342" s="1"/>
      <c r="F3342" s="1"/>
      <c r="G3342" s="1"/>
      <c r="H3342" s="1"/>
    </row>
    <row r="3343" spans="2:8" ht="12.75">
      <c r="B3343" s="15" t="s">
        <v>14</v>
      </c>
      <c r="C3343" s="9">
        <f>SUM(C3344:C3346)</f>
        <v>139.77999999999997</v>
      </c>
      <c r="D3343" s="9">
        <f>SUM(D3344:D3346)</f>
        <v>6.607483880726832</v>
      </c>
      <c r="E3343" s="1"/>
      <c r="F3343" s="1"/>
      <c r="G3343" s="1"/>
      <c r="H3343" s="1"/>
    </row>
    <row r="3344" spans="2:8" ht="12.75">
      <c r="B3344" s="6" t="s">
        <v>43</v>
      </c>
      <c r="C3344" s="8">
        <f>13.75+18.61</f>
        <v>32.36</v>
      </c>
      <c r="D3344" s="8">
        <f>C3344/1762.9/12*1000</f>
        <v>1.5296764800423543</v>
      </c>
      <c r="E3344" s="1"/>
      <c r="F3344" s="1"/>
      <c r="G3344" s="1"/>
      <c r="H3344" s="1"/>
    </row>
    <row r="3345" spans="2:8" ht="12.75">
      <c r="B3345" s="17" t="s">
        <v>44</v>
      </c>
      <c r="C3345" s="8">
        <v>15.57</v>
      </c>
      <c r="D3345" s="8">
        <f>C3345/1762.9/12*1000</f>
        <v>0.7360031765840376</v>
      </c>
      <c r="E3345" s="1"/>
      <c r="F3345" s="1"/>
      <c r="G3345" s="1"/>
      <c r="H3345" s="1"/>
    </row>
    <row r="3346" spans="2:8" ht="12.75">
      <c r="B3346" s="6" t="s">
        <v>16</v>
      </c>
      <c r="C3346" s="8">
        <v>91.85</v>
      </c>
      <c r="D3346" s="8">
        <f>C3346/1762.9/12*1000</f>
        <v>4.34180422410044</v>
      </c>
      <c r="E3346" s="1"/>
      <c r="F3346" s="1"/>
      <c r="G3346" s="1"/>
      <c r="H3346" s="1"/>
    </row>
    <row r="3347" spans="2:8" ht="12.75">
      <c r="B3347" s="10" t="s">
        <v>19</v>
      </c>
      <c r="C3347" s="22">
        <f>SUM(C3348:C3351)</f>
        <v>37.11</v>
      </c>
      <c r="D3347" s="22">
        <f>SUM(D3348:D3351)</f>
        <v>1.7542118100856543</v>
      </c>
      <c r="E3347" s="1"/>
      <c r="F3347" s="1"/>
      <c r="G3347" s="1"/>
      <c r="H3347" s="1"/>
    </row>
    <row r="3348" spans="2:8" ht="12.75">
      <c r="B3348" s="6" t="s">
        <v>45</v>
      </c>
      <c r="C3348" s="8">
        <f>24.53+4.95+2.48</f>
        <v>31.96</v>
      </c>
      <c r="D3348" s="8">
        <f>C3348/1762.9/12*1000</f>
        <v>1.5107682417229187</v>
      </c>
      <c r="E3348" s="1"/>
      <c r="F3348" s="1"/>
      <c r="G3348" s="1"/>
      <c r="H3348" s="1"/>
    </row>
    <row r="3349" spans="2:8" ht="12.75">
      <c r="B3349" s="6" t="s">
        <v>46</v>
      </c>
      <c r="C3349" s="8">
        <v>0</v>
      </c>
      <c r="D3349" s="8">
        <f>C3349/1762.9/12*1000</f>
        <v>0</v>
      </c>
      <c r="E3349" s="1"/>
      <c r="F3349" s="1"/>
      <c r="G3349" s="1"/>
      <c r="H3349" s="1"/>
    </row>
    <row r="3350" spans="2:8" ht="12.75">
      <c r="B3350" s="20" t="s">
        <v>47</v>
      </c>
      <c r="C3350" s="8">
        <v>0.9</v>
      </c>
      <c r="D3350" s="8">
        <f>C3350/1762.9/12*1000</f>
        <v>0.0425435362187305</v>
      </c>
      <c r="E3350" s="1"/>
      <c r="F3350" s="1"/>
      <c r="G3350" s="1"/>
      <c r="H3350" s="1"/>
    </row>
    <row r="3351" spans="2:8" ht="12.75">
      <c r="B3351" s="8" t="s">
        <v>48</v>
      </c>
      <c r="C3351" s="8">
        <v>4.25</v>
      </c>
      <c r="D3351" s="8">
        <f>C3351/1762.9/12*1000</f>
        <v>0.20090003214400515</v>
      </c>
      <c r="E3351" s="1"/>
      <c r="F3351" s="1"/>
      <c r="G3351" s="1"/>
      <c r="H3351" s="1"/>
    </row>
    <row r="3352" spans="2:8" ht="12.75">
      <c r="B3352" s="14" t="s">
        <v>27</v>
      </c>
      <c r="C3352" s="14">
        <f>26.3+4.11</f>
        <v>30.41</v>
      </c>
      <c r="D3352" s="14">
        <f>C3352/1762.9/12*1000</f>
        <v>1.437498818235105</v>
      </c>
      <c r="E3352" s="1"/>
      <c r="F3352" s="1"/>
      <c r="G3352" s="1"/>
      <c r="H3352" s="1"/>
    </row>
    <row r="3353" spans="2:8" ht="12.75">
      <c r="B3353" s="14" t="s">
        <v>187</v>
      </c>
      <c r="C3353" s="14"/>
      <c r="D3353" s="8"/>
      <c r="E3353" s="1"/>
      <c r="F3353" s="1"/>
      <c r="G3353" s="1"/>
      <c r="H3353" s="1"/>
    </row>
    <row r="3354" spans="2:8" ht="12.75">
      <c r="B3354" s="14" t="s">
        <v>29</v>
      </c>
      <c r="C3354" s="23">
        <f>C3342+C3343+C3347+C3352+C3353</f>
        <v>243.45999999999995</v>
      </c>
      <c r="D3354" s="23">
        <f>D3342+D3343+D3347+D3352+D3353</f>
        <v>11.508499253124585</v>
      </c>
      <c r="E3354" s="1"/>
      <c r="F3354" s="1"/>
      <c r="G3354" s="1"/>
      <c r="H3354" s="1"/>
    </row>
    <row r="3355" spans="2:8" ht="12.75">
      <c r="B3355" s="8" t="s">
        <v>51</v>
      </c>
      <c r="C3355" s="8">
        <v>24.35</v>
      </c>
      <c r="D3355" s="8">
        <f>C3355/1762.9/12*1000</f>
        <v>1.151039007695653</v>
      </c>
      <c r="E3355" s="1"/>
      <c r="F3355" s="1"/>
      <c r="G3355" s="1"/>
      <c r="H3355" s="1"/>
    </row>
    <row r="3356" spans="2:8" ht="12.75">
      <c r="B3356" s="14" t="s">
        <v>31</v>
      </c>
      <c r="C3356" s="23">
        <f>C3354+C3355</f>
        <v>267.80999999999995</v>
      </c>
      <c r="D3356" s="23">
        <f>D3354+D3355</f>
        <v>12.659538260820238</v>
      </c>
      <c r="E3356" s="1"/>
      <c r="F3356" s="1"/>
      <c r="G3356" s="1"/>
      <c r="H3356" s="1"/>
    </row>
    <row r="3357" spans="2:8" ht="12.75">
      <c r="B3357" s="6" t="s">
        <v>34</v>
      </c>
      <c r="C3357" s="23">
        <f>C3356/C3341/12*1000</f>
        <v>12.659538260820236</v>
      </c>
      <c r="D3357" s="8"/>
      <c r="E3357" s="1"/>
      <c r="F3357" s="1"/>
      <c r="G3357" s="1"/>
      <c r="H3357" s="1"/>
    </row>
    <row r="3358" spans="2:8" ht="12.75">
      <c r="B3358" s="1"/>
      <c r="C3358" s="1"/>
      <c r="D3358" s="1"/>
      <c r="E3358" s="1"/>
      <c r="F3358" s="1"/>
      <c r="G3358" s="1"/>
      <c r="H3358" s="1"/>
    </row>
    <row r="3359" spans="2:8" ht="12.75">
      <c r="B3359" s="1" t="s">
        <v>52</v>
      </c>
      <c r="C3359" s="1"/>
      <c r="D3359" s="1"/>
      <c r="E3359" s="1"/>
      <c r="F3359" s="1"/>
      <c r="G3359" s="1"/>
      <c r="H3359" s="1"/>
    </row>
    <row r="3360" spans="2:8" ht="12.75">
      <c r="B3360" s="1"/>
      <c r="C3360" s="1"/>
      <c r="D3360" s="1"/>
      <c r="E3360" s="1"/>
      <c r="F3360" s="1"/>
      <c r="G3360" s="1"/>
      <c r="H3360" s="1"/>
    </row>
    <row r="3361" spans="2:8" ht="12.75">
      <c r="B3361" s="2" t="s">
        <v>0</v>
      </c>
      <c r="C3361" s="2"/>
      <c r="D3361" s="2"/>
      <c r="E3361" s="1"/>
      <c r="F3361" s="1"/>
      <c r="G3361" s="1"/>
      <c r="H3361" s="1"/>
    </row>
    <row r="3362" spans="2:8" ht="12.75">
      <c r="B3362" s="2" t="s">
        <v>65</v>
      </c>
      <c r="C3362" s="2"/>
      <c r="D3362" s="2"/>
      <c r="E3362" s="1"/>
      <c r="F3362" s="1"/>
      <c r="G3362" s="1"/>
      <c r="H3362" s="1"/>
    </row>
    <row r="3363" spans="2:8" ht="12.75">
      <c r="B3363" s="2" t="s">
        <v>196</v>
      </c>
      <c r="C3363" s="2"/>
      <c r="D3363" s="2"/>
      <c r="E3363" s="1"/>
      <c r="F3363" s="1"/>
      <c r="G3363" s="1"/>
      <c r="H3363" s="1"/>
    </row>
    <row r="3364" spans="2:8" ht="12.75">
      <c r="B3364" s="3"/>
      <c r="C3364" s="3"/>
      <c r="D3364" s="1"/>
      <c r="E3364" s="1"/>
      <c r="F3364" s="1"/>
      <c r="G3364" s="1"/>
      <c r="H3364" s="1"/>
    </row>
    <row r="3365" spans="2:8" ht="12.75">
      <c r="B3365" s="5" t="s">
        <v>4</v>
      </c>
      <c r="C3365" s="31" t="s">
        <v>40</v>
      </c>
      <c r="D3365" s="6" t="s">
        <v>41</v>
      </c>
      <c r="E3365" s="1"/>
      <c r="F3365" s="1"/>
      <c r="G3365" s="1"/>
      <c r="H3365" s="1"/>
    </row>
    <row r="3366" spans="2:8" ht="12.75">
      <c r="B3366" s="6"/>
      <c r="C3366" s="6"/>
      <c r="D3366" s="7"/>
      <c r="E3366" s="1"/>
      <c r="F3366" s="1"/>
      <c r="G3366" s="1"/>
      <c r="H3366" s="1"/>
    </row>
    <row r="3367" spans="2:8" ht="12.75">
      <c r="B3367" s="10" t="s">
        <v>42</v>
      </c>
      <c r="C3367" s="8">
        <v>942.2</v>
      </c>
      <c r="D3367" s="8"/>
      <c r="E3367" s="1"/>
      <c r="F3367" s="1"/>
      <c r="G3367" s="1"/>
      <c r="H3367" s="1"/>
    </row>
    <row r="3368" spans="2:8" ht="12.75">
      <c r="B3368" s="11" t="s">
        <v>13</v>
      </c>
      <c r="C3368" s="32">
        <v>19.32</v>
      </c>
      <c r="D3368" s="14">
        <f>C3368/942.2/12*1000</f>
        <v>1.7087667161961366</v>
      </c>
      <c r="E3368" s="1"/>
      <c r="F3368" s="1"/>
      <c r="G3368" s="1"/>
      <c r="H3368" s="1"/>
    </row>
    <row r="3369" spans="2:8" ht="12.75">
      <c r="B3369" s="15" t="s">
        <v>14</v>
      </c>
      <c r="C3369" s="9">
        <f>SUM(C3370:C3372)</f>
        <v>74.9</v>
      </c>
      <c r="D3369" s="9">
        <f>SUM(D3370:D3372)</f>
        <v>6.624566617137197</v>
      </c>
      <c r="E3369" s="1"/>
      <c r="F3369" s="1"/>
      <c r="G3369" s="1"/>
      <c r="H3369" s="1"/>
    </row>
    <row r="3370" spans="2:8" ht="12.75">
      <c r="B3370" s="6" t="s">
        <v>43</v>
      </c>
      <c r="C3370" s="8">
        <f>7.35+9.95</f>
        <v>17.299999999999997</v>
      </c>
      <c r="D3370" s="8">
        <f>C3370/942.2/12*1000</f>
        <v>1.530106842142503</v>
      </c>
      <c r="E3370" s="1"/>
      <c r="F3370" s="1"/>
      <c r="G3370" s="1"/>
      <c r="H3370" s="1"/>
    </row>
    <row r="3371" spans="2:8" ht="12.75">
      <c r="B3371" s="17" t="s">
        <v>44</v>
      </c>
      <c r="C3371" s="8">
        <v>8.32</v>
      </c>
      <c r="D3371" s="8">
        <f>C3371/942.2/12*1000</f>
        <v>0.7358664119436779</v>
      </c>
      <c r="E3371" s="1"/>
      <c r="F3371" s="1"/>
      <c r="G3371" s="1"/>
      <c r="H3371" s="1"/>
    </row>
    <row r="3372" spans="2:8" ht="12.75">
      <c r="B3372" s="6" t="s">
        <v>16</v>
      </c>
      <c r="C3372" s="8">
        <v>49.28</v>
      </c>
      <c r="D3372" s="8">
        <f>C3372/942.2/12*1000</f>
        <v>4.358593363051016</v>
      </c>
      <c r="E3372" s="1"/>
      <c r="F3372" s="1"/>
      <c r="G3372" s="1"/>
      <c r="H3372" s="1"/>
    </row>
    <row r="3373" spans="2:8" ht="12.75">
      <c r="B3373" s="10" t="s">
        <v>19</v>
      </c>
      <c r="C3373" s="22">
        <f>SUM(C3374:C3377)</f>
        <v>17.27</v>
      </c>
      <c r="D3373" s="22">
        <f>SUM(D3374:D3377)</f>
        <v>1.5274534776763604</v>
      </c>
      <c r="E3373" s="1"/>
      <c r="F3373" s="1"/>
      <c r="G3373" s="1"/>
      <c r="H3373" s="1"/>
    </row>
    <row r="3374" spans="2:8" ht="12.75">
      <c r="B3374" s="6" t="s">
        <v>45</v>
      </c>
      <c r="C3374" s="8">
        <f>11.18+2.26+1.13</f>
        <v>14.57</v>
      </c>
      <c r="D3374" s="8">
        <f>C3374/942.2/12*1000</f>
        <v>1.2886506757234841</v>
      </c>
      <c r="E3374" s="1"/>
      <c r="F3374" s="1"/>
      <c r="G3374" s="1"/>
      <c r="H3374" s="1"/>
    </row>
    <row r="3375" spans="2:8" ht="12.75">
      <c r="B3375" s="6" t="s">
        <v>46</v>
      </c>
      <c r="C3375" s="8">
        <v>0</v>
      </c>
      <c r="D3375" s="8">
        <f>C3375/942.2/12*1000</f>
        <v>0</v>
      </c>
      <c r="E3375" s="1"/>
      <c r="F3375" s="1"/>
      <c r="G3375" s="1"/>
      <c r="H3375" s="1"/>
    </row>
    <row r="3376" spans="2:8" ht="12.75">
      <c r="B3376" s="20" t="s">
        <v>47</v>
      </c>
      <c r="C3376" s="8">
        <v>0.31</v>
      </c>
      <c r="D3376" s="8">
        <f>C3376/942.2/12*1000</f>
        <v>0.02741809948347838</v>
      </c>
      <c r="E3376" s="1"/>
      <c r="F3376" s="1"/>
      <c r="G3376" s="1"/>
      <c r="H3376" s="1"/>
    </row>
    <row r="3377" spans="2:8" ht="12.75">
      <c r="B3377" s="8" t="s">
        <v>48</v>
      </c>
      <c r="C3377" s="8">
        <v>2.39</v>
      </c>
      <c r="D3377" s="8">
        <f>C3377/942.2/12*1000</f>
        <v>0.21138470246939786</v>
      </c>
      <c r="E3377" s="1"/>
      <c r="F3377" s="1"/>
      <c r="G3377" s="1"/>
      <c r="H3377" s="1"/>
    </row>
    <row r="3378" spans="2:8" ht="12.75">
      <c r="B3378" s="14" t="s">
        <v>27</v>
      </c>
      <c r="C3378" s="14">
        <f>14.06+2.2</f>
        <v>16.26</v>
      </c>
      <c r="D3378" s="14">
        <f>C3378/942.2/12*1000</f>
        <v>1.4381235406495436</v>
      </c>
      <c r="E3378" s="1"/>
      <c r="F3378" s="1"/>
      <c r="G3378" s="1"/>
      <c r="H3378" s="1"/>
    </row>
    <row r="3379" spans="2:8" ht="12.75">
      <c r="B3379" s="14" t="s">
        <v>187</v>
      </c>
      <c r="C3379" s="14">
        <v>2.4</v>
      </c>
      <c r="D3379" s="14">
        <f>C3379/942.2/12*1000</f>
        <v>0.21226915729144552</v>
      </c>
      <c r="E3379" s="1"/>
      <c r="F3379" s="1"/>
      <c r="G3379" s="1"/>
      <c r="H3379" s="1"/>
    </row>
    <row r="3380" spans="2:8" ht="12.75">
      <c r="B3380" s="14" t="s">
        <v>29</v>
      </c>
      <c r="C3380" s="23">
        <f>C3368+C3369+C3373+C3378+C3379</f>
        <v>130.15</v>
      </c>
      <c r="D3380" s="23">
        <f>D3368+D3369+D3373+D3378+D3379</f>
        <v>11.511179508950683</v>
      </c>
      <c r="E3380" s="1"/>
      <c r="F3380" s="1"/>
      <c r="G3380" s="1"/>
      <c r="H3380" s="1"/>
    </row>
    <row r="3381" spans="2:8" ht="12.75">
      <c r="B3381" s="8" t="s">
        <v>51</v>
      </c>
      <c r="C3381" s="8">
        <v>13.01</v>
      </c>
      <c r="D3381" s="8">
        <f>C3381/942.2/12*1000</f>
        <v>1.1506757234840446</v>
      </c>
      <c r="E3381" s="1"/>
      <c r="F3381" s="1"/>
      <c r="G3381" s="1"/>
      <c r="H3381" s="1"/>
    </row>
    <row r="3382" spans="2:8" ht="12.75">
      <c r="B3382" s="14" t="s">
        <v>31</v>
      </c>
      <c r="C3382" s="23">
        <f>C3380+C3381</f>
        <v>143.16</v>
      </c>
      <c r="D3382" s="23">
        <f>D3380+D3381</f>
        <v>12.661855232434727</v>
      </c>
      <c r="E3382" s="1"/>
      <c r="F3382" s="1"/>
      <c r="G3382" s="1"/>
      <c r="H3382" s="1"/>
    </row>
    <row r="3383" spans="2:8" ht="12.75">
      <c r="B3383" s="6" t="s">
        <v>34</v>
      </c>
      <c r="C3383" s="23">
        <f>C3382/C3367/12*1000</f>
        <v>12.661855232434725</v>
      </c>
      <c r="D3383" s="8"/>
      <c r="E3383" s="1"/>
      <c r="F3383" s="1"/>
      <c r="G3383" s="1"/>
      <c r="H3383" s="1"/>
    </row>
    <row r="3384" spans="2:8" ht="12.75">
      <c r="B3384" s="1"/>
      <c r="C3384" s="1"/>
      <c r="D3384" s="1"/>
      <c r="E3384" s="1"/>
      <c r="F3384" s="1"/>
      <c r="G3384" s="1"/>
      <c r="H3384" s="1"/>
    </row>
    <row r="3385" spans="2:8" ht="12.75">
      <c r="B3385" s="1" t="s">
        <v>52</v>
      </c>
      <c r="C3385" s="1"/>
      <c r="D3385" s="1"/>
      <c r="E3385" s="1"/>
      <c r="F3385" s="1"/>
      <c r="G3385" s="1"/>
      <c r="H3385" s="1"/>
    </row>
    <row r="3386" spans="2:8" ht="12.75">
      <c r="B3386" s="1"/>
      <c r="C3386" s="1"/>
      <c r="D3386" s="1"/>
      <c r="E3386" s="1"/>
      <c r="F3386" s="1"/>
      <c r="G3386" s="1"/>
      <c r="H3386" s="1"/>
    </row>
    <row r="3387" spans="2:8" ht="12.75">
      <c r="B3387" s="2" t="s">
        <v>0</v>
      </c>
      <c r="C3387" s="2"/>
      <c r="D3387" s="2"/>
      <c r="E3387" s="1"/>
      <c r="F3387" s="1"/>
      <c r="G3387" s="1"/>
      <c r="H3387" s="1"/>
    </row>
    <row r="3388" spans="2:8" ht="12.75">
      <c r="B3388" s="2" t="s">
        <v>65</v>
      </c>
      <c r="C3388" s="2"/>
      <c r="D3388" s="2"/>
      <c r="E3388" s="1"/>
      <c r="F3388" s="1"/>
      <c r="G3388" s="1"/>
      <c r="H3388" s="1"/>
    </row>
    <row r="3389" spans="2:8" ht="12.75">
      <c r="B3389" s="2" t="s">
        <v>197</v>
      </c>
      <c r="C3389" s="2"/>
      <c r="D3389" s="2"/>
      <c r="E3389" s="1"/>
      <c r="F3389" s="1"/>
      <c r="G3389" s="1"/>
      <c r="H3389" s="1"/>
    </row>
    <row r="3390" spans="2:8" ht="12.75">
      <c r="B3390" s="3"/>
      <c r="C3390" s="3"/>
      <c r="D3390" s="1"/>
      <c r="E3390" s="1"/>
      <c r="F3390" s="1"/>
      <c r="G3390" s="1"/>
      <c r="H3390" s="1"/>
    </row>
    <row r="3391" spans="2:8" ht="12.75">
      <c r="B3391" s="5" t="s">
        <v>4</v>
      </c>
      <c r="C3391" s="31" t="s">
        <v>40</v>
      </c>
      <c r="D3391" s="6" t="s">
        <v>41</v>
      </c>
      <c r="E3391" s="1"/>
      <c r="F3391" s="1"/>
      <c r="G3391" s="1"/>
      <c r="H3391" s="1"/>
    </row>
    <row r="3392" spans="2:8" ht="12.75">
      <c r="B3392" s="6"/>
      <c r="C3392" s="6"/>
      <c r="D3392" s="7"/>
      <c r="E3392" s="1"/>
      <c r="F3392" s="1"/>
      <c r="G3392" s="1"/>
      <c r="H3392" s="1"/>
    </row>
    <row r="3393" spans="2:8" ht="12.75">
      <c r="B3393" s="10" t="s">
        <v>42</v>
      </c>
      <c r="C3393" s="8">
        <v>923.4</v>
      </c>
      <c r="D3393" s="8"/>
      <c r="E3393" s="1"/>
      <c r="F3393" s="1"/>
      <c r="G3393" s="1"/>
      <c r="H3393" s="1"/>
    </row>
    <row r="3394" spans="2:8" ht="12.75">
      <c r="B3394" s="11" t="s">
        <v>13</v>
      </c>
      <c r="C3394" s="32">
        <v>18.94</v>
      </c>
      <c r="D3394" s="14">
        <f>C3394/923.4/12*1000</f>
        <v>1.7092628691069238</v>
      </c>
      <c r="E3394" s="1"/>
      <c r="F3394" s="1"/>
      <c r="G3394" s="1"/>
      <c r="H3394" s="1"/>
    </row>
    <row r="3395" spans="2:8" ht="12.75">
      <c r="B3395" s="15" t="s">
        <v>14</v>
      </c>
      <c r="C3395" s="9">
        <f>SUM(C3396:C3398)</f>
        <v>72.78</v>
      </c>
      <c r="D3395" s="9">
        <f>SUM(D3396:D3398)</f>
        <v>6.568117825427768</v>
      </c>
      <c r="E3395" s="1"/>
      <c r="F3395" s="1"/>
      <c r="G3395" s="1"/>
      <c r="H3395" s="1"/>
    </row>
    <row r="3396" spans="2:8" ht="12.75">
      <c r="B3396" s="6" t="s">
        <v>43</v>
      </c>
      <c r="C3396" s="8">
        <f>7.2+9.75</f>
        <v>16.95</v>
      </c>
      <c r="D3396" s="8">
        <f>C3396/923.4/12*1000</f>
        <v>1.5296729478016027</v>
      </c>
      <c r="E3396" s="1"/>
      <c r="F3396" s="1"/>
      <c r="G3396" s="1"/>
      <c r="H3396" s="1"/>
    </row>
    <row r="3397" spans="2:8" ht="12.75">
      <c r="B3397" s="17" t="s">
        <v>44</v>
      </c>
      <c r="C3397" s="8">
        <v>8.16</v>
      </c>
      <c r="D3397" s="8">
        <f>C3397/923.4/12*1000</f>
        <v>0.7364089235434266</v>
      </c>
      <c r="E3397" s="1"/>
      <c r="F3397" s="1"/>
      <c r="G3397" s="1"/>
      <c r="H3397" s="1"/>
    </row>
    <row r="3398" spans="2:8" ht="12.75">
      <c r="B3398" s="6" t="s">
        <v>16</v>
      </c>
      <c r="C3398" s="8">
        <v>47.67</v>
      </c>
      <c r="D3398" s="8">
        <f>C3398/923.4/12*1000</f>
        <v>4.302035954082738</v>
      </c>
      <c r="E3398" s="1"/>
      <c r="F3398" s="1"/>
      <c r="G3398" s="1"/>
      <c r="H3398" s="1"/>
    </row>
    <row r="3399" spans="2:8" ht="12.75">
      <c r="B3399" s="10" t="s">
        <v>19</v>
      </c>
      <c r="C3399" s="22">
        <f>SUM(C3400:C3403)</f>
        <v>17.490000000000002</v>
      </c>
      <c r="D3399" s="22">
        <f>SUM(D3400:D3403)</f>
        <v>1.5784058912713883</v>
      </c>
      <c r="E3399" s="1"/>
      <c r="F3399" s="1"/>
      <c r="G3399" s="1"/>
      <c r="H3399" s="1"/>
    </row>
    <row r="3400" spans="2:8" ht="12.75">
      <c r="B3400" s="6" t="s">
        <v>45</v>
      </c>
      <c r="C3400" s="8">
        <f>11.35+2.29+1.15</f>
        <v>14.790000000000001</v>
      </c>
      <c r="D3400" s="8">
        <f>C3400/923.4/12*1000</f>
        <v>1.3347411739224604</v>
      </c>
      <c r="E3400" s="1"/>
      <c r="F3400" s="1"/>
      <c r="G3400" s="1"/>
      <c r="H3400" s="1"/>
    </row>
    <row r="3401" spans="2:8" ht="12.75">
      <c r="B3401" s="6" t="s">
        <v>46</v>
      </c>
      <c r="C3401" s="8">
        <v>0</v>
      </c>
      <c r="D3401" s="8">
        <f>C3401/923.4/12*1000</f>
        <v>0</v>
      </c>
      <c r="E3401" s="1"/>
      <c r="F3401" s="1"/>
      <c r="G3401" s="1"/>
      <c r="H3401" s="1"/>
    </row>
    <row r="3402" spans="2:8" ht="12.75">
      <c r="B3402" s="20" t="s">
        <v>47</v>
      </c>
      <c r="C3402" s="8">
        <v>0.31</v>
      </c>
      <c r="D3402" s="8">
        <f>C3402/923.4/12*1000</f>
        <v>0.02797631939932135</v>
      </c>
      <c r="E3402" s="1"/>
      <c r="F3402" s="1"/>
      <c r="G3402" s="1"/>
      <c r="H3402" s="1"/>
    </row>
    <row r="3403" spans="2:8" ht="12.75">
      <c r="B3403" s="8" t="s">
        <v>48</v>
      </c>
      <c r="C3403" s="8">
        <v>2.39</v>
      </c>
      <c r="D3403" s="8">
        <f>C3403/923.4/12*1000</f>
        <v>0.21568839794960654</v>
      </c>
      <c r="E3403" s="1"/>
      <c r="F3403" s="1"/>
      <c r="G3403" s="1"/>
      <c r="H3403" s="1"/>
    </row>
    <row r="3404" spans="2:8" ht="12.75">
      <c r="B3404" s="14" t="s">
        <v>27</v>
      </c>
      <c r="C3404" s="14">
        <f>13.78+2.15</f>
        <v>15.93</v>
      </c>
      <c r="D3404" s="14">
        <f>C3404/923.4/12*1000</f>
        <v>1.4376218323586745</v>
      </c>
      <c r="E3404" s="1"/>
      <c r="F3404" s="1"/>
      <c r="G3404" s="1"/>
      <c r="H3404" s="1"/>
    </row>
    <row r="3405" spans="2:8" ht="12.75">
      <c r="B3405" s="14" t="s">
        <v>187</v>
      </c>
      <c r="C3405" s="14">
        <v>2.4</v>
      </c>
      <c r="D3405" s="14">
        <f>C3405/923.4/12*1000</f>
        <v>0.21659085986571366</v>
      </c>
      <c r="E3405" s="1"/>
      <c r="F3405" s="1"/>
      <c r="G3405" s="1"/>
      <c r="H3405" s="1"/>
    </row>
    <row r="3406" spans="2:8" ht="12.75">
      <c r="B3406" s="14" t="s">
        <v>29</v>
      </c>
      <c r="C3406" s="23">
        <f>C3394+C3395+C3399+C3404+C3405</f>
        <v>127.54000000000002</v>
      </c>
      <c r="D3406" s="23">
        <f>D3394+D3395+D3399+D3404+D3405</f>
        <v>11.509999278030467</v>
      </c>
      <c r="E3406" s="1"/>
      <c r="F3406" s="1"/>
      <c r="G3406" s="1"/>
      <c r="H3406" s="1"/>
    </row>
    <row r="3407" spans="2:8" ht="12.75">
      <c r="B3407" s="8" t="s">
        <v>51</v>
      </c>
      <c r="C3407" s="8">
        <v>12.75</v>
      </c>
      <c r="D3407" s="8">
        <f>C3407/923.4/12*1000</f>
        <v>1.150638943036604</v>
      </c>
      <c r="E3407" s="1"/>
      <c r="F3407" s="1"/>
      <c r="G3407" s="1"/>
      <c r="H3407" s="1"/>
    </row>
    <row r="3408" spans="2:8" ht="12.75">
      <c r="B3408" s="14" t="s">
        <v>31</v>
      </c>
      <c r="C3408" s="23">
        <f>C3406+C3407</f>
        <v>140.29000000000002</v>
      </c>
      <c r="D3408" s="23">
        <f>D3406+D3407</f>
        <v>12.660638221067071</v>
      </c>
      <c r="E3408" s="1"/>
      <c r="F3408" s="1"/>
      <c r="G3408" s="1"/>
      <c r="H3408" s="1"/>
    </row>
    <row r="3409" spans="2:8" ht="12.75">
      <c r="B3409" s="6" t="s">
        <v>34</v>
      </c>
      <c r="C3409" s="23">
        <f>C3408/C3393/12*1000</f>
        <v>12.660638221067074</v>
      </c>
      <c r="D3409" s="8"/>
      <c r="E3409" s="1"/>
      <c r="F3409" s="1"/>
      <c r="G3409" s="1"/>
      <c r="H3409" s="1"/>
    </row>
    <row r="3410" spans="2:8" ht="12.75">
      <c r="B3410" s="1"/>
      <c r="C3410" s="1"/>
      <c r="D3410" s="1"/>
      <c r="E3410" s="1"/>
      <c r="F3410" s="1"/>
      <c r="G3410" s="1"/>
      <c r="H3410" s="1"/>
    </row>
    <row r="3411" spans="2:8" ht="12.75">
      <c r="B3411" s="1" t="s">
        <v>52</v>
      </c>
      <c r="C3411" s="1"/>
      <c r="D3411" s="1"/>
      <c r="E3411" s="1"/>
      <c r="F3411" s="1"/>
      <c r="G3411" s="1"/>
      <c r="H3411" s="1"/>
    </row>
    <row r="3412" spans="2:8" ht="12.75">
      <c r="B3412" s="1"/>
      <c r="C3412" s="1"/>
      <c r="D3412" s="1"/>
      <c r="E3412" s="1"/>
      <c r="F3412" s="1"/>
      <c r="G3412" s="1"/>
      <c r="H3412" s="1"/>
    </row>
    <row r="3413" spans="2:8" ht="12.75">
      <c r="B3413" s="2" t="s">
        <v>0</v>
      </c>
      <c r="C3413" s="2"/>
      <c r="D3413" s="2"/>
      <c r="E3413" s="1"/>
      <c r="F3413" s="1"/>
      <c r="G3413" s="1"/>
      <c r="H3413" s="1"/>
    </row>
    <row r="3414" spans="2:8" ht="12.75">
      <c r="B3414" s="2" t="s">
        <v>65</v>
      </c>
      <c r="C3414" s="2"/>
      <c r="D3414" s="2"/>
      <c r="E3414" s="1"/>
      <c r="F3414" s="1"/>
      <c r="G3414" s="1"/>
      <c r="H3414" s="1"/>
    </row>
    <row r="3415" spans="2:8" ht="12.75">
      <c r="B3415" s="2" t="s">
        <v>198</v>
      </c>
      <c r="C3415" s="2"/>
      <c r="D3415" s="2"/>
      <c r="E3415" s="1"/>
      <c r="F3415" s="1"/>
      <c r="G3415" s="1"/>
      <c r="H3415" s="1"/>
    </row>
    <row r="3416" spans="2:8" ht="12.75">
      <c r="B3416" s="3"/>
      <c r="C3416" s="3"/>
      <c r="D3416" s="1"/>
      <c r="E3416" s="1"/>
      <c r="F3416" s="1"/>
      <c r="G3416" s="1"/>
      <c r="H3416" s="1"/>
    </row>
    <row r="3417" spans="2:8" ht="12.75">
      <c r="B3417" s="5" t="s">
        <v>4</v>
      </c>
      <c r="C3417" s="31" t="s">
        <v>40</v>
      </c>
      <c r="D3417" s="6" t="s">
        <v>41</v>
      </c>
      <c r="E3417" s="1"/>
      <c r="F3417" s="1"/>
      <c r="G3417" s="1"/>
      <c r="H3417" s="1"/>
    </row>
    <row r="3418" spans="2:8" ht="12.75">
      <c r="B3418" s="6"/>
      <c r="C3418" s="6"/>
      <c r="D3418" s="7"/>
      <c r="E3418" s="1"/>
      <c r="F3418" s="1"/>
      <c r="G3418" s="1"/>
      <c r="H3418" s="1"/>
    </row>
    <row r="3419" spans="2:8" ht="12.75">
      <c r="B3419" s="10" t="s">
        <v>42</v>
      </c>
      <c r="C3419" s="8">
        <v>918.4</v>
      </c>
      <c r="D3419" s="8"/>
      <c r="E3419" s="1"/>
      <c r="F3419" s="1"/>
      <c r="G3419" s="1"/>
      <c r="H3419" s="1"/>
    </row>
    <row r="3420" spans="2:8" ht="12.75">
      <c r="B3420" s="11" t="s">
        <v>13</v>
      </c>
      <c r="C3420" s="32">
        <v>18.84</v>
      </c>
      <c r="D3420" s="14">
        <f>C3420/918.4/12*1000</f>
        <v>1.7094947735191637</v>
      </c>
      <c r="E3420" s="1"/>
      <c r="F3420" s="1"/>
      <c r="G3420" s="1"/>
      <c r="H3420" s="1"/>
    </row>
    <row r="3421" spans="2:8" ht="12.75">
      <c r="B3421" s="15" t="s">
        <v>14</v>
      </c>
      <c r="C3421" s="9">
        <f>SUM(C3422:C3424)</f>
        <v>71.35</v>
      </c>
      <c r="D3421" s="9">
        <f>SUM(D3422:D3424)</f>
        <v>6.474121660859466</v>
      </c>
      <c r="E3421" s="1"/>
      <c r="F3421" s="1"/>
      <c r="G3421" s="1"/>
      <c r="H3421" s="1"/>
    </row>
    <row r="3422" spans="2:8" ht="12.75">
      <c r="B3422" s="6" t="s">
        <v>43</v>
      </c>
      <c r="C3422" s="8">
        <f>7.16+9.7</f>
        <v>16.86</v>
      </c>
      <c r="D3422" s="8">
        <f>C3422/918.4/12*1000</f>
        <v>1.5298344947735192</v>
      </c>
      <c r="E3422" s="1"/>
      <c r="F3422" s="1"/>
      <c r="G3422" s="1"/>
      <c r="H3422" s="1"/>
    </row>
    <row r="3423" spans="2:8" ht="12.75">
      <c r="B3423" s="17" t="s">
        <v>44</v>
      </c>
      <c r="C3423" s="8">
        <v>8.11</v>
      </c>
      <c r="D3423" s="8">
        <f>C3423/918.4/12*1000</f>
        <v>0.7358812427409988</v>
      </c>
      <c r="E3423" s="1"/>
      <c r="F3423" s="1"/>
      <c r="G3423" s="1"/>
      <c r="H3423" s="1"/>
    </row>
    <row r="3424" spans="2:8" ht="12.75">
      <c r="B3424" s="6" t="s">
        <v>16</v>
      </c>
      <c r="C3424" s="21">
        <v>46.38</v>
      </c>
      <c r="D3424" s="8">
        <f>C3424/918.4/12*1000</f>
        <v>4.208405923344948</v>
      </c>
      <c r="E3424" s="1"/>
      <c r="F3424" s="1"/>
      <c r="G3424" s="1"/>
      <c r="H3424" s="1"/>
    </row>
    <row r="3425" spans="2:8" ht="12.75">
      <c r="B3425" s="10" t="s">
        <v>19</v>
      </c>
      <c r="C3425" s="22">
        <f>SUM(C3426:C3429)</f>
        <v>18.400000000000002</v>
      </c>
      <c r="D3425" s="22">
        <f>SUM(D3426:D3429)</f>
        <v>1.6695702671312431</v>
      </c>
      <c r="E3425" s="1"/>
      <c r="F3425" s="1"/>
      <c r="G3425" s="1"/>
      <c r="H3425" s="1"/>
    </row>
    <row r="3426" spans="2:8" ht="12.75">
      <c r="B3426" s="6" t="s">
        <v>45</v>
      </c>
      <c r="C3426" s="8">
        <f>12.05+2.43+1.22</f>
        <v>15.700000000000001</v>
      </c>
      <c r="D3426" s="8">
        <f>C3426/918.4/12*1000</f>
        <v>1.4245789779326368</v>
      </c>
      <c r="E3426" s="1"/>
      <c r="F3426" s="1"/>
      <c r="G3426" s="1"/>
      <c r="H3426" s="1"/>
    </row>
    <row r="3427" spans="2:8" ht="12.75">
      <c r="B3427" s="6" t="s">
        <v>46</v>
      </c>
      <c r="C3427" s="8">
        <v>0</v>
      </c>
      <c r="D3427" s="8">
        <f>C3427/918.4/12*1000</f>
        <v>0</v>
      </c>
      <c r="E3427" s="1"/>
      <c r="F3427" s="1"/>
      <c r="G3427" s="1"/>
      <c r="H3427" s="1"/>
    </row>
    <row r="3428" spans="2:8" ht="12.75">
      <c r="B3428" s="20" t="s">
        <v>47</v>
      </c>
      <c r="C3428" s="8">
        <v>0.31</v>
      </c>
      <c r="D3428" s="8">
        <f>C3428/918.4/12*1000</f>
        <v>0.02812862950058072</v>
      </c>
      <c r="E3428" s="1"/>
      <c r="F3428" s="1"/>
      <c r="G3428" s="1"/>
      <c r="H3428" s="1"/>
    </row>
    <row r="3429" spans="2:8" ht="12.75">
      <c r="B3429" s="8" t="s">
        <v>48</v>
      </c>
      <c r="C3429" s="8">
        <v>2.39</v>
      </c>
      <c r="D3429" s="8">
        <f>C3429/918.4/12*1000</f>
        <v>0.21686265969802557</v>
      </c>
      <c r="E3429" s="1"/>
      <c r="F3429" s="1"/>
      <c r="G3429" s="1"/>
      <c r="H3429" s="1"/>
    </row>
    <row r="3430" spans="2:8" ht="12.75">
      <c r="B3430" s="14" t="s">
        <v>27</v>
      </c>
      <c r="C3430" s="14">
        <f>13.7+2.14</f>
        <v>15.84</v>
      </c>
      <c r="D3430" s="14">
        <f>C3430/918.4/12*1000</f>
        <v>1.4372822299651569</v>
      </c>
      <c r="E3430" s="1"/>
      <c r="F3430" s="1"/>
      <c r="G3430" s="1"/>
      <c r="H3430" s="1"/>
    </row>
    <row r="3431" spans="2:8" ht="12.75">
      <c r="B3431" s="14" t="s">
        <v>187</v>
      </c>
      <c r="C3431" s="14">
        <v>2.4</v>
      </c>
      <c r="D3431" s="14">
        <f>C3431/918.4/12*1000</f>
        <v>0.21777003484320553</v>
      </c>
      <c r="E3431" s="1"/>
      <c r="F3431" s="1"/>
      <c r="G3431" s="1"/>
      <c r="H3431" s="1"/>
    </row>
    <row r="3432" spans="2:8" ht="12.75">
      <c r="B3432" s="14" t="s">
        <v>29</v>
      </c>
      <c r="C3432" s="23">
        <f>C3420+C3421+C3425+C3430+C3431</f>
        <v>126.83000000000001</v>
      </c>
      <c r="D3432" s="23">
        <f>D3420+D3421+D3425+D3430+D3431</f>
        <v>11.508238966318235</v>
      </c>
      <c r="E3432" s="1"/>
      <c r="F3432" s="1"/>
      <c r="G3432" s="1"/>
      <c r="H3432" s="1"/>
    </row>
    <row r="3433" spans="2:8" ht="12.75">
      <c r="B3433" s="8" t="s">
        <v>51</v>
      </c>
      <c r="C3433" s="8">
        <v>12.68</v>
      </c>
      <c r="D3433" s="8">
        <f>C3433/918.4/12*1000</f>
        <v>1.1505516840882695</v>
      </c>
      <c r="E3433" s="1"/>
      <c r="F3433" s="1"/>
      <c r="G3433" s="1"/>
      <c r="H3433" s="1"/>
    </row>
    <row r="3434" spans="2:8" ht="12.75">
      <c r="B3434" s="14" t="s">
        <v>31</v>
      </c>
      <c r="C3434" s="23">
        <f>C3432+C3433</f>
        <v>139.51000000000002</v>
      </c>
      <c r="D3434" s="23">
        <f>D3432+D3433</f>
        <v>12.658790650406504</v>
      </c>
      <c r="E3434" s="1"/>
      <c r="F3434" s="1"/>
      <c r="G3434" s="1"/>
      <c r="H3434" s="1"/>
    </row>
    <row r="3435" spans="2:8" ht="12.75">
      <c r="B3435" s="6" t="s">
        <v>34</v>
      </c>
      <c r="C3435" s="23">
        <f>C3434/C3419/12*1000</f>
        <v>12.658790650406507</v>
      </c>
      <c r="D3435" s="8"/>
      <c r="E3435" s="1"/>
      <c r="F3435" s="1"/>
      <c r="G3435" s="1"/>
      <c r="H3435" s="1"/>
    </row>
    <row r="3436" spans="2:8" ht="12.75">
      <c r="B3436" s="1"/>
      <c r="C3436" s="1"/>
      <c r="D3436" s="1"/>
      <c r="E3436" s="1"/>
      <c r="F3436" s="1"/>
      <c r="G3436" s="1"/>
      <c r="H3436" s="1"/>
    </row>
    <row r="3437" spans="2:8" ht="12.75">
      <c r="B3437" s="1" t="s">
        <v>52</v>
      </c>
      <c r="C3437" s="1"/>
      <c r="D3437" s="1"/>
      <c r="E3437" s="1"/>
      <c r="F3437" s="1"/>
      <c r="G3437" s="1"/>
      <c r="H3437" s="1"/>
    </row>
    <row r="3442" spans="2:5" ht="12.75" customHeight="1">
      <c r="B3442" s="40"/>
      <c r="C3442" s="40"/>
      <c r="D3442" s="40"/>
      <c r="E3442" s="40"/>
    </row>
    <row r="3443" spans="2:5" ht="12.75">
      <c r="B3443" s="40"/>
      <c r="C3443" s="40"/>
      <c r="D3443" s="40"/>
      <c r="E3443" s="40"/>
    </row>
    <row r="3444" spans="2:5" ht="12.75">
      <c r="B3444" s="40"/>
      <c r="C3444" s="40"/>
      <c r="D3444" s="40"/>
      <c r="E3444" s="40"/>
    </row>
    <row r="3445" spans="2:4" ht="12.75">
      <c r="B3445" s="3"/>
      <c r="C3445" s="3"/>
      <c r="D3445" s="1"/>
    </row>
    <row r="3446" spans="2:5" ht="12.75">
      <c r="B3446" s="29"/>
      <c r="C3446" s="27"/>
      <c r="D3446" s="27"/>
      <c r="E3446" s="59"/>
    </row>
    <row r="3447" spans="2:5" ht="12.75">
      <c r="B3447" s="27"/>
      <c r="C3447" s="27"/>
      <c r="D3447" s="34"/>
      <c r="E3447" s="49"/>
    </row>
    <row r="3448" spans="2:7" ht="12.75">
      <c r="B3448" s="40"/>
      <c r="C3448" s="36"/>
      <c r="D3448" s="36"/>
      <c r="E3448" s="50"/>
      <c r="F3448" s="60"/>
      <c r="G3448" s="50"/>
    </row>
    <row r="3449" spans="2:7" ht="12.75">
      <c r="B3449" s="41"/>
      <c r="C3449" s="32"/>
      <c r="D3449" s="38"/>
      <c r="E3449" s="51"/>
      <c r="F3449" s="61"/>
      <c r="G3449" s="62"/>
    </row>
    <row r="3450" spans="2:7" ht="65.25" customHeight="1">
      <c r="B3450" s="42"/>
      <c r="C3450" s="2"/>
      <c r="D3450" s="2"/>
      <c r="E3450" s="63"/>
      <c r="F3450" s="64"/>
      <c r="G3450" s="63"/>
    </row>
    <row r="3451" spans="2:7" ht="12.75">
      <c r="B3451" s="40"/>
      <c r="C3451" s="37"/>
      <c r="D3451" s="37"/>
      <c r="E3451" s="63"/>
      <c r="F3451" s="60"/>
      <c r="G3451" s="65"/>
    </row>
    <row r="3452" spans="2:7" ht="12.75">
      <c r="B3452" s="27"/>
      <c r="C3452" s="36"/>
      <c r="D3452" s="36"/>
      <c r="E3452" s="50"/>
      <c r="F3452" s="66"/>
      <c r="G3452" s="50"/>
    </row>
    <row r="3453" spans="2:7" ht="12.75">
      <c r="B3453" s="27"/>
      <c r="C3453" s="36"/>
      <c r="D3453" s="36"/>
      <c r="E3453" s="50"/>
      <c r="F3453" s="66"/>
      <c r="G3453" s="50"/>
    </row>
    <row r="3454" spans="2:7" ht="12.75">
      <c r="B3454" s="44"/>
      <c r="C3454" s="36"/>
      <c r="D3454" s="36"/>
      <c r="E3454" s="50"/>
      <c r="F3454" s="67"/>
      <c r="G3454" s="50"/>
    </row>
    <row r="3455" spans="2:7" ht="12.75">
      <c r="B3455" s="36"/>
      <c r="C3455" s="36"/>
      <c r="D3455" s="36"/>
      <c r="E3455" s="50"/>
      <c r="F3455" s="68"/>
      <c r="G3455" s="50"/>
    </row>
    <row r="3456" spans="2:7" ht="12.75">
      <c r="B3456" s="36"/>
      <c r="C3456" s="36"/>
      <c r="D3456" s="36"/>
      <c r="E3456" s="50"/>
      <c r="F3456" s="68"/>
      <c r="G3456" s="50"/>
    </row>
    <row r="3457" spans="2:7" ht="12.75">
      <c r="B3457" s="38"/>
      <c r="C3457" s="38"/>
      <c r="D3457" s="38"/>
      <c r="E3457" s="50"/>
      <c r="F3457" s="69"/>
      <c r="G3457" s="51"/>
    </row>
    <row r="3458" spans="2:7" ht="12.75">
      <c r="B3458" s="38"/>
      <c r="C3458" s="38"/>
      <c r="D3458" s="36"/>
      <c r="E3458" s="50"/>
      <c r="F3458" s="69"/>
      <c r="G3458" s="51"/>
    </row>
    <row r="3459" spans="2:7" ht="12.75">
      <c r="B3459" s="38"/>
      <c r="C3459" s="45"/>
      <c r="D3459" s="45"/>
      <c r="E3459" s="45"/>
      <c r="F3459" s="70"/>
      <c r="G3459" s="70"/>
    </row>
    <row r="3460" spans="2:7" ht="12.75">
      <c r="B3460" s="36"/>
      <c r="C3460" s="36"/>
      <c r="D3460" s="36"/>
      <c r="E3460" s="50"/>
      <c r="F3460" s="68"/>
      <c r="G3460" s="50"/>
    </row>
    <row r="3461" spans="2:7" ht="12.75">
      <c r="B3461" s="38"/>
      <c r="C3461" s="45"/>
      <c r="D3461" s="45"/>
      <c r="E3461" s="45"/>
      <c r="F3461" s="45"/>
      <c r="G3461" s="70"/>
    </row>
    <row r="3462" spans="2:7" ht="12.75">
      <c r="B3462" s="27"/>
      <c r="C3462" s="45"/>
      <c r="D3462" s="38"/>
      <c r="E3462" s="51"/>
      <c r="F3462" s="51"/>
      <c r="G3462" s="70"/>
    </row>
    <row r="3463" spans="2:4" ht="12.75">
      <c r="B3463" s="1"/>
      <c r="C3463" s="1"/>
      <c r="D3463" s="1"/>
    </row>
    <row r="3464" spans="2:4" ht="12.75">
      <c r="B3464" s="1"/>
      <c r="C3464" s="1"/>
      <c r="D3464" s="1"/>
    </row>
  </sheetData>
  <sheetProtection selectLockedCells="1" selectUnlockedCells="1"/>
  <mergeCells count="413">
    <mergeCell ref="B2:D2"/>
    <mergeCell ref="B3:E3"/>
    <mergeCell ref="B4:E4"/>
    <mergeCell ref="B35:E35"/>
    <mergeCell ref="B37:E37"/>
    <mergeCell ref="B42:D42"/>
    <mergeCell ref="B43:D43"/>
    <mergeCell ref="B44:D44"/>
    <mergeCell ref="B45:D45"/>
    <mergeCell ref="B70:D70"/>
    <mergeCell ref="B71:D71"/>
    <mergeCell ref="B72:D72"/>
    <mergeCell ref="B73:D73"/>
    <mergeCell ref="B97:D97"/>
    <mergeCell ref="B98:D98"/>
    <mergeCell ref="B99:D99"/>
    <mergeCell ref="B123:D123"/>
    <mergeCell ref="B124:D124"/>
    <mergeCell ref="B125:D125"/>
    <mergeCell ref="B150:D150"/>
    <mergeCell ref="B151:D151"/>
    <mergeCell ref="B152:D152"/>
    <mergeCell ref="B177:D177"/>
    <mergeCell ref="B178:D178"/>
    <mergeCell ref="B179:D179"/>
    <mergeCell ref="B206:C206"/>
    <mergeCell ref="B207:D207"/>
    <mergeCell ref="B208:C208"/>
    <mergeCell ref="C210:D210"/>
    <mergeCell ref="E210:G210"/>
    <mergeCell ref="B234:D234"/>
    <mergeCell ref="B236:H236"/>
    <mergeCell ref="B237:H237"/>
    <mergeCell ref="B238:H238"/>
    <mergeCell ref="B261:H261"/>
    <mergeCell ref="B263:C263"/>
    <mergeCell ref="B264:D264"/>
    <mergeCell ref="B265:C265"/>
    <mergeCell ref="B289:C289"/>
    <mergeCell ref="B290:D290"/>
    <mergeCell ref="B291:C291"/>
    <mergeCell ref="B315:C315"/>
    <mergeCell ref="B316:D316"/>
    <mergeCell ref="B317:C317"/>
    <mergeCell ref="B342:D342"/>
    <mergeCell ref="B343:D343"/>
    <mergeCell ref="B344:D344"/>
    <mergeCell ref="B368:D368"/>
    <mergeCell ref="B369:D369"/>
    <mergeCell ref="B370:D370"/>
    <mergeCell ref="B394:D394"/>
    <mergeCell ref="B395:D395"/>
    <mergeCell ref="B396:D396"/>
    <mergeCell ref="B421:D421"/>
    <mergeCell ref="B422:D422"/>
    <mergeCell ref="B423:D423"/>
    <mergeCell ref="B448:D448"/>
    <mergeCell ref="B449:D449"/>
    <mergeCell ref="B450:D450"/>
    <mergeCell ref="B475:D475"/>
    <mergeCell ref="B476:D476"/>
    <mergeCell ref="B477:D477"/>
    <mergeCell ref="B502:D502"/>
    <mergeCell ref="B503:D503"/>
    <mergeCell ref="B504:D504"/>
    <mergeCell ref="B528:D528"/>
    <mergeCell ref="B529:D529"/>
    <mergeCell ref="B530:D530"/>
    <mergeCell ref="B555:D555"/>
    <mergeCell ref="B556:D556"/>
    <mergeCell ref="B557:D557"/>
    <mergeCell ref="B581:D581"/>
    <mergeCell ref="B582:D582"/>
    <mergeCell ref="B583:D583"/>
    <mergeCell ref="B607:D607"/>
    <mergeCell ref="B608:D608"/>
    <mergeCell ref="B609:D609"/>
    <mergeCell ref="B633:D633"/>
    <mergeCell ref="B634:D634"/>
    <mergeCell ref="B635:D635"/>
    <mergeCell ref="B661:D661"/>
    <mergeCell ref="B662:D662"/>
    <mergeCell ref="B663:D663"/>
    <mergeCell ref="B689:D689"/>
    <mergeCell ref="B690:D690"/>
    <mergeCell ref="B691:D691"/>
    <mergeCell ref="B716:D716"/>
    <mergeCell ref="B717:D717"/>
    <mergeCell ref="B718:D718"/>
    <mergeCell ref="B744:D744"/>
    <mergeCell ref="B745:D745"/>
    <mergeCell ref="B746:D746"/>
    <mergeCell ref="B771:D771"/>
    <mergeCell ref="B772:D772"/>
    <mergeCell ref="B773:D773"/>
    <mergeCell ref="B796:D796"/>
    <mergeCell ref="B797:D797"/>
    <mergeCell ref="B798:D798"/>
    <mergeCell ref="B822:D822"/>
    <mergeCell ref="B823:D823"/>
    <mergeCell ref="B824:D824"/>
    <mergeCell ref="B851:D851"/>
    <mergeCell ref="B852:D852"/>
    <mergeCell ref="B853:D853"/>
    <mergeCell ref="B879:D879"/>
    <mergeCell ref="J879:L879"/>
    <mergeCell ref="B880:D880"/>
    <mergeCell ref="J880:L880"/>
    <mergeCell ref="B881:D881"/>
    <mergeCell ref="J881:L881"/>
    <mergeCell ref="J906:L906"/>
    <mergeCell ref="B908:D908"/>
    <mergeCell ref="B909:D909"/>
    <mergeCell ref="B910:D910"/>
    <mergeCell ref="B936:D936"/>
    <mergeCell ref="B937:D937"/>
    <mergeCell ref="B938:D938"/>
    <mergeCell ref="B964:D964"/>
    <mergeCell ref="B965:D965"/>
    <mergeCell ref="B966:D966"/>
    <mergeCell ref="B991:D991"/>
    <mergeCell ref="J991:O991"/>
    <mergeCell ref="B992:D992"/>
    <mergeCell ref="J992:O992"/>
    <mergeCell ref="B993:D993"/>
    <mergeCell ref="J993:O993"/>
    <mergeCell ref="J996:J997"/>
    <mergeCell ref="K996:K997"/>
    <mergeCell ref="L996:L997"/>
    <mergeCell ref="M996:N996"/>
    <mergeCell ref="O996:P996"/>
    <mergeCell ref="J1019:O1019"/>
    <mergeCell ref="B1021:D1021"/>
    <mergeCell ref="J1021:L1021"/>
    <mergeCell ref="B1022:D1022"/>
    <mergeCell ref="J1022:L1022"/>
    <mergeCell ref="B1023:D1023"/>
    <mergeCell ref="J1023:L1023"/>
    <mergeCell ref="J1049:O1049"/>
    <mergeCell ref="B1051:D1051"/>
    <mergeCell ref="B1052:D1052"/>
    <mergeCell ref="B1053:D1053"/>
    <mergeCell ref="B1079:D1079"/>
    <mergeCell ref="B1080:D1080"/>
    <mergeCell ref="B1081:D1081"/>
    <mergeCell ref="B1109:D1109"/>
    <mergeCell ref="B1110:D1110"/>
    <mergeCell ref="B1111:D1111"/>
    <mergeCell ref="B1136:D1136"/>
    <mergeCell ref="B1137:D1137"/>
    <mergeCell ref="B1138:D1138"/>
    <mergeCell ref="B1164:D1164"/>
    <mergeCell ref="B1165:D1165"/>
    <mergeCell ref="B1166:D1166"/>
    <mergeCell ref="B1192:D1192"/>
    <mergeCell ref="B1193:D1193"/>
    <mergeCell ref="B1194:D1194"/>
    <mergeCell ref="B1220:D1220"/>
    <mergeCell ref="J1220:L1220"/>
    <mergeCell ref="B1221:D1221"/>
    <mergeCell ref="J1221:L1221"/>
    <mergeCell ref="B1222:D1222"/>
    <mergeCell ref="J1222:L1222"/>
    <mergeCell ref="B1248:D1248"/>
    <mergeCell ref="B1249:D1249"/>
    <mergeCell ref="B1250:D1250"/>
    <mergeCell ref="B1275:D1275"/>
    <mergeCell ref="B1276:D1276"/>
    <mergeCell ref="B1277:D1277"/>
    <mergeCell ref="B1303:D1303"/>
    <mergeCell ref="B1304:D1304"/>
    <mergeCell ref="B1305:D1305"/>
    <mergeCell ref="B1330:D1330"/>
    <mergeCell ref="B1331:D1331"/>
    <mergeCell ref="B1332:D1332"/>
    <mergeCell ref="B1358:D1358"/>
    <mergeCell ref="B1359:D1359"/>
    <mergeCell ref="B1360:D1360"/>
    <mergeCell ref="B1386:D1386"/>
    <mergeCell ref="B1387:D1387"/>
    <mergeCell ref="B1388:D1388"/>
    <mergeCell ref="B1414:D1414"/>
    <mergeCell ref="B1415:D1415"/>
    <mergeCell ref="B1416:D1416"/>
    <mergeCell ref="B1440:D1440"/>
    <mergeCell ref="B1441:D1441"/>
    <mergeCell ref="B1442:D1442"/>
    <mergeCell ref="B1467:D1467"/>
    <mergeCell ref="B1468:D1468"/>
    <mergeCell ref="B1469:D1469"/>
    <mergeCell ref="B1494:D1494"/>
    <mergeCell ref="B1495:D1495"/>
    <mergeCell ref="B1496:D1496"/>
    <mergeCell ref="B1521:D1521"/>
    <mergeCell ref="B1522:D1522"/>
    <mergeCell ref="B1523:D1523"/>
    <mergeCell ref="B1548:D1548"/>
    <mergeCell ref="B1549:D1549"/>
    <mergeCell ref="B1550:D1550"/>
    <mergeCell ref="B1575:D1575"/>
    <mergeCell ref="B1576:D1576"/>
    <mergeCell ref="B1577:D1577"/>
    <mergeCell ref="B1603:D1603"/>
    <mergeCell ref="B1604:D1604"/>
    <mergeCell ref="B1605:D1605"/>
    <mergeCell ref="B1630:D1630"/>
    <mergeCell ref="B1631:D1631"/>
    <mergeCell ref="B1632:D1632"/>
    <mergeCell ref="B1657:D1657"/>
    <mergeCell ref="B1658:D1658"/>
    <mergeCell ref="B1659:D1659"/>
    <mergeCell ref="B1684:D1684"/>
    <mergeCell ref="B1685:D1685"/>
    <mergeCell ref="B1686:D1686"/>
    <mergeCell ref="B1712:D1712"/>
    <mergeCell ref="B1713:D1713"/>
    <mergeCell ref="B1714:D1714"/>
    <mergeCell ref="B1739:D1739"/>
    <mergeCell ref="B1740:D1740"/>
    <mergeCell ref="B1741:D1741"/>
    <mergeCell ref="B1766:D1766"/>
    <mergeCell ref="B1767:D1767"/>
    <mergeCell ref="B1768:D1768"/>
    <mergeCell ref="B1794:D1794"/>
    <mergeCell ref="B1795:D1795"/>
    <mergeCell ref="B1796:D1796"/>
    <mergeCell ref="B1821:D1821"/>
    <mergeCell ref="B1822:D1822"/>
    <mergeCell ref="B1823:D1823"/>
    <mergeCell ref="B1848:D1848"/>
    <mergeCell ref="B1849:D1849"/>
    <mergeCell ref="B1850:D1850"/>
    <mergeCell ref="B1875:D1875"/>
    <mergeCell ref="B1876:D1876"/>
    <mergeCell ref="B1877:D1877"/>
    <mergeCell ref="B1902:D1902"/>
    <mergeCell ref="B1903:D1903"/>
    <mergeCell ref="B1904:D1904"/>
    <mergeCell ref="B1929:D1929"/>
    <mergeCell ref="B1930:D1930"/>
    <mergeCell ref="B1931:D1931"/>
    <mergeCell ref="B1956:D1956"/>
    <mergeCell ref="B1957:D1957"/>
    <mergeCell ref="B1958:D1958"/>
    <mergeCell ref="B1983:D1983"/>
    <mergeCell ref="B1984:D1984"/>
    <mergeCell ref="B1985:D1985"/>
    <mergeCell ref="B2010:D2010"/>
    <mergeCell ref="B2011:D2011"/>
    <mergeCell ref="B2012:D2012"/>
    <mergeCell ref="B2037:D2037"/>
    <mergeCell ref="B2038:D2038"/>
    <mergeCell ref="B2039:D2039"/>
    <mergeCell ref="B2064:D2064"/>
    <mergeCell ref="B2065:D2065"/>
    <mergeCell ref="B2066:D2066"/>
    <mergeCell ref="B2091:D2091"/>
    <mergeCell ref="B2092:D2092"/>
    <mergeCell ref="B2093:D2093"/>
    <mergeCell ref="B2118:D2118"/>
    <mergeCell ref="B2119:D2119"/>
    <mergeCell ref="B2120:D2120"/>
    <mergeCell ref="B2144:D2144"/>
    <mergeCell ref="B2145:D2145"/>
    <mergeCell ref="B2146:D2146"/>
    <mergeCell ref="B2171:D2171"/>
    <mergeCell ref="B2172:D2172"/>
    <mergeCell ref="B2173:D2173"/>
    <mergeCell ref="B2198:D2198"/>
    <mergeCell ref="B2199:D2199"/>
    <mergeCell ref="B2200:D2200"/>
    <mergeCell ref="B2225:D2225"/>
    <mergeCell ref="B2226:D2226"/>
    <mergeCell ref="B2227:D2227"/>
    <mergeCell ref="B2252:D2252"/>
    <mergeCell ref="B2253:D2253"/>
    <mergeCell ref="B2254:D2254"/>
    <mergeCell ref="B2279:D2279"/>
    <mergeCell ref="B2280:D2280"/>
    <mergeCell ref="B2281:D2281"/>
    <mergeCell ref="B2307:D2307"/>
    <mergeCell ref="B2308:D2308"/>
    <mergeCell ref="B2309:D2309"/>
    <mergeCell ref="J2333:L2333"/>
    <mergeCell ref="B2334:D2334"/>
    <mergeCell ref="B2335:D2335"/>
    <mergeCell ref="B2336:D2336"/>
    <mergeCell ref="B2360:D2360"/>
    <mergeCell ref="B2361:D2361"/>
    <mergeCell ref="B2362:D2362"/>
    <mergeCell ref="B2388:D2388"/>
    <mergeCell ref="B2389:D2389"/>
    <mergeCell ref="B2390:D2390"/>
    <mergeCell ref="B2415:D2415"/>
    <mergeCell ref="B2416:D2416"/>
    <mergeCell ref="B2417:D2417"/>
    <mergeCell ref="B2442:D2442"/>
    <mergeCell ref="B2443:D2443"/>
    <mergeCell ref="B2444:D2444"/>
    <mergeCell ref="B2471:D2471"/>
    <mergeCell ref="B2472:D2472"/>
    <mergeCell ref="B2473:D2473"/>
    <mergeCell ref="B2500:D2500"/>
    <mergeCell ref="B2501:D2501"/>
    <mergeCell ref="B2502:D2502"/>
    <mergeCell ref="B2527:D2527"/>
    <mergeCell ref="B2528:D2528"/>
    <mergeCell ref="B2529:D2529"/>
    <mergeCell ref="B2554:D2554"/>
    <mergeCell ref="B2555:D2555"/>
    <mergeCell ref="B2556:D2556"/>
    <mergeCell ref="B2581:D2581"/>
    <mergeCell ref="B2582:D2582"/>
    <mergeCell ref="B2583:D2583"/>
    <mergeCell ref="B2608:D2608"/>
    <mergeCell ref="B2609:D2609"/>
    <mergeCell ref="B2610:D2610"/>
    <mergeCell ref="B2635:D2635"/>
    <mergeCell ref="B2636:D2636"/>
    <mergeCell ref="B2637:D2637"/>
    <mergeCell ref="B2662:D2662"/>
    <mergeCell ref="B2663:D2663"/>
    <mergeCell ref="B2664:D2664"/>
    <mergeCell ref="B2689:D2689"/>
    <mergeCell ref="B2690:D2690"/>
    <mergeCell ref="B2691:D2691"/>
    <mergeCell ref="B2715:D2715"/>
    <mergeCell ref="B2716:D2716"/>
    <mergeCell ref="B2717:D2717"/>
    <mergeCell ref="B2742:D2742"/>
    <mergeCell ref="B2743:D2743"/>
    <mergeCell ref="B2744:D2744"/>
    <mergeCell ref="B2767:D2767"/>
    <mergeCell ref="B2768:D2768"/>
    <mergeCell ref="B2769:D2769"/>
    <mergeCell ref="B2792:D2792"/>
    <mergeCell ref="B2793:D2793"/>
    <mergeCell ref="B2794:D2794"/>
    <mergeCell ref="B2817:D2817"/>
    <mergeCell ref="B2818:D2818"/>
    <mergeCell ref="B2819:D2819"/>
    <mergeCell ref="B2842:D2842"/>
    <mergeCell ref="B2843:D2843"/>
    <mergeCell ref="B2844:D2844"/>
    <mergeCell ref="B2867:D2867"/>
    <mergeCell ref="B2868:D2868"/>
    <mergeCell ref="B2869:D2869"/>
    <mergeCell ref="B2892:D2892"/>
    <mergeCell ref="B2893:D2893"/>
    <mergeCell ref="B2894:D2894"/>
    <mergeCell ref="B2918:D2918"/>
    <mergeCell ref="B2919:D2919"/>
    <mergeCell ref="B2920:D2920"/>
    <mergeCell ref="B2944:D2944"/>
    <mergeCell ref="B2945:D2945"/>
    <mergeCell ref="B2946:D2946"/>
    <mergeCell ref="B2969:D2969"/>
    <mergeCell ref="B2970:D2970"/>
    <mergeCell ref="B2971:D2971"/>
    <mergeCell ref="B2995:D2995"/>
    <mergeCell ref="B2996:D2996"/>
    <mergeCell ref="B2997:D2997"/>
    <mergeCell ref="B3020:D3020"/>
    <mergeCell ref="B3021:D3021"/>
    <mergeCell ref="B3022:D3022"/>
    <mergeCell ref="B3046:D3046"/>
    <mergeCell ref="B3047:D3047"/>
    <mergeCell ref="B3048:D3048"/>
    <mergeCell ref="B3073:H3073"/>
    <mergeCell ref="B3074:H3074"/>
    <mergeCell ref="B3075:H3075"/>
    <mergeCell ref="B3098:H3098"/>
    <mergeCell ref="B3100:D3100"/>
    <mergeCell ref="B3101:D3101"/>
    <mergeCell ref="B3102:D3102"/>
    <mergeCell ref="B3128:D3128"/>
    <mergeCell ref="B3129:D3129"/>
    <mergeCell ref="B3130:D3130"/>
    <mergeCell ref="B3153:D3153"/>
    <mergeCell ref="B3154:D3154"/>
    <mergeCell ref="B3155:D3155"/>
    <mergeCell ref="B3178:D3178"/>
    <mergeCell ref="B3179:D3179"/>
    <mergeCell ref="B3180:D3180"/>
    <mergeCell ref="B3204:D3204"/>
    <mergeCell ref="B3205:D3205"/>
    <mergeCell ref="B3206:D3206"/>
    <mergeCell ref="B3230:D3230"/>
    <mergeCell ref="B3231:D3231"/>
    <mergeCell ref="B3232:D3232"/>
    <mergeCell ref="B3253:D3253"/>
    <mergeCell ref="B3257:D3257"/>
    <mergeCell ref="B3258:D3258"/>
    <mergeCell ref="B3259:D3259"/>
    <mergeCell ref="B3283:D3283"/>
    <mergeCell ref="B3284:D3284"/>
    <mergeCell ref="B3285:D3285"/>
    <mergeCell ref="B3309:D3309"/>
    <mergeCell ref="B3310:D3310"/>
    <mergeCell ref="B3311:D3311"/>
    <mergeCell ref="B3335:D3335"/>
    <mergeCell ref="B3336:D3336"/>
    <mergeCell ref="B3337:D3337"/>
    <mergeCell ref="B3361:D3361"/>
    <mergeCell ref="B3362:D3362"/>
    <mergeCell ref="B3363:D3363"/>
    <mergeCell ref="B3387:D3387"/>
    <mergeCell ref="B3388:D3388"/>
    <mergeCell ref="B3389:D3389"/>
    <mergeCell ref="B3413:D3413"/>
    <mergeCell ref="B3414:D3414"/>
    <mergeCell ref="B3415:D3415"/>
    <mergeCell ref="B3442:E3444"/>
  </mergeCells>
  <printOptions/>
  <pageMargins left="0.27569444444444446" right="0.19652777777777777" top="0.5513888888888889" bottom="0.5513888888888889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2014-11-17T11:18:46Z</cp:lastPrinted>
  <dcterms:created xsi:type="dcterms:W3CDTF">2014-11-29T17:11:01Z</dcterms:created>
  <dcterms:modified xsi:type="dcterms:W3CDTF">2014-12-01T13:43:23Z</dcterms:modified>
  <cp:category/>
  <cp:version/>
  <cp:contentType/>
  <cp:contentStatus/>
  <cp:revision>305</cp:revision>
</cp:coreProperties>
</file>