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<sst xmlns="http://schemas.openxmlformats.org/spreadsheetml/2006/main" count="4043" uniqueCount="206">
  <si>
    <t>Информация</t>
  </si>
  <si>
    <t xml:space="preserve"> ООО «Радиострой» за   2018г.</t>
  </si>
  <si>
    <t>по 30 Лет Победы, д.7</t>
  </si>
  <si>
    <t xml:space="preserve"> </t>
  </si>
  <si>
    <t>Калькуляция тарифа на содержание и ремонт (ПЛАН) на 2018год</t>
  </si>
  <si>
    <t>Фактические затраты за 2018 год</t>
  </si>
  <si>
    <t>руб.</t>
  </si>
  <si>
    <r>
      <t>с 1м</t>
    </r>
    <r>
      <rPr>
        <b/>
        <sz val="10"/>
        <color indexed="8"/>
        <rFont val="Arial"/>
        <family val="2"/>
      </rPr>
      <t>²</t>
    </r>
  </si>
  <si>
    <r>
      <t xml:space="preserve"> с 1м</t>
    </r>
    <r>
      <rPr>
        <b/>
        <sz val="10"/>
        <color indexed="8"/>
        <rFont val="Arial"/>
        <family val="2"/>
      </rPr>
      <t>²</t>
    </r>
  </si>
  <si>
    <r>
      <t>Оплачиваемая общая площадь  дома,м</t>
    </r>
    <r>
      <rPr>
        <sz val="10"/>
        <color indexed="8"/>
        <rFont val="Arial"/>
        <family val="2"/>
      </rPr>
      <t>²</t>
    </r>
  </si>
  <si>
    <t>Содержание и текущий ремонт жилищного фонда ( в т.ч. доп.услуга, ОСК, Ростелеком) :</t>
  </si>
  <si>
    <r>
      <t>Начислено</t>
    </r>
    <r>
      <rPr>
        <b/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(содержание, доп.услуга)</t>
    </r>
  </si>
  <si>
    <r>
      <t xml:space="preserve">Оплачено </t>
    </r>
    <r>
      <rPr>
        <b/>
        <sz val="10"/>
        <color indexed="8"/>
        <rFont val="Times New Roman"/>
        <family val="1"/>
      </rPr>
      <t>(содержание, доп.услуга, ОСК, Ростелеком)</t>
    </r>
  </si>
  <si>
    <t>Отклонение</t>
  </si>
  <si>
    <t>Расходы :</t>
  </si>
  <si>
    <t>т.руб</t>
  </si>
  <si>
    <t>Услуги управления</t>
  </si>
  <si>
    <t>Ремонт и обслуживание внутридомового инженерного оборудования и конструктивных элементов здания – всего:</t>
  </si>
  <si>
    <t>аварийное, техническое обслуживание и обходы конструктивных элементов, инженерного и электрического обслуживания МКД</t>
  </si>
  <si>
    <t>услуги по ремонту конструктивного и инженерного оборудования зданий</t>
  </si>
  <si>
    <t>А/услуги</t>
  </si>
  <si>
    <t>Благоустройство и обеспечение санитарного состояния жилых зданий и придомовых территорий - всего</t>
  </si>
  <si>
    <t>Дворовая территория (з/плата уб-дворн, соц.отчисления 30,3%, спец.одежда, инвентарь) вкл. прочие непредвиденные расходы</t>
  </si>
  <si>
    <t>Обслуживание вентканалов и дымоходов</t>
  </si>
  <si>
    <t>Услуги на проведение дератизационных и дезинфекционных работ</t>
  </si>
  <si>
    <t>Прочие ( налоги, возмещение банку)</t>
  </si>
  <si>
    <t xml:space="preserve">Вывоз ТБО </t>
  </si>
  <si>
    <t>З/плата контролера за ОДПУ</t>
  </si>
  <si>
    <t>Итого расходов</t>
  </si>
  <si>
    <t>Рентабельность</t>
  </si>
  <si>
    <t>Справочно:</t>
  </si>
  <si>
    <t>Начислено ком.ресурсы ХВС (руб.)</t>
  </si>
  <si>
    <t>Оплачено ком.ресурсы ХВС  (руб.)</t>
  </si>
  <si>
    <t>Начислено ком.ресурсы Канализация  (руб.)</t>
  </si>
  <si>
    <t>Оплачено ком.ресурсы Канализация  (руб.)</t>
  </si>
  <si>
    <t>Итого отклонение</t>
  </si>
  <si>
    <t>Итого отклонение с учетом ком.ресурсов (т.руб.)</t>
  </si>
  <si>
    <t xml:space="preserve">  </t>
  </si>
  <si>
    <r>
      <t xml:space="preserve">Задолженность перед УО "ООО Радиострой" за период 2008-2018гг </t>
    </r>
    <r>
      <rPr>
        <b/>
        <i/>
        <sz val="10"/>
        <color indexed="8"/>
        <rFont val="Times New Roman"/>
        <family val="1"/>
      </rPr>
      <t>(т.руб.)</t>
    </r>
  </si>
  <si>
    <t xml:space="preserve">           Экономист ООО "Радиострой"                                                              В.В.Бычкова</t>
  </si>
  <si>
    <t>по пер.Аэродромный, д.3</t>
  </si>
  <si>
    <t>Калькуляция тарифа на содержание и ремонт (ПЛАН) на 2018 год</t>
  </si>
  <si>
    <t>Начислено ком.ресурсы Электроэнергия (руб.)</t>
  </si>
  <si>
    <t>Оплачено ком.ресурсы Электроэнергия  (руб.)</t>
  </si>
  <si>
    <r>
      <t>Итого отклонение</t>
    </r>
    <r>
      <rPr>
        <b/>
        <i/>
        <sz val="10"/>
        <color indexed="8"/>
        <rFont val="Times New Roman"/>
        <family val="1"/>
      </rPr>
      <t xml:space="preserve"> с учетом ком.ресурсов</t>
    </r>
    <r>
      <rPr>
        <b/>
        <sz val="10"/>
        <color indexed="8"/>
        <rFont val="Times New Roman"/>
        <family val="1"/>
      </rPr>
      <t xml:space="preserve"> (т.руб.) долг</t>
    </r>
  </si>
  <si>
    <t>Остаток средств за период 2008-2018гг (т.руб.)</t>
  </si>
  <si>
    <t xml:space="preserve"> ООО «Радиострой» за  2018г.</t>
  </si>
  <si>
    <t>по пер.Аэродромный, д.13</t>
  </si>
  <si>
    <t>Содержание и текущий ремонт жилищного фонда  :</t>
  </si>
  <si>
    <t>Начислено</t>
  </si>
  <si>
    <t xml:space="preserve">Оплачено </t>
  </si>
  <si>
    <t xml:space="preserve"> ООО «Радиострой» за 2018г.</t>
  </si>
  <si>
    <t>по пер.Аэродромный, д.16</t>
  </si>
  <si>
    <t>Содержание и текущий ремонт жилищного фонда ( в т.ч. доп.услуга) :</t>
  </si>
  <si>
    <t>по ул.Базарная, д.10</t>
  </si>
  <si>
    <t>Содержание и текущий ремонт жилищного фонда ( в т.ч. ОСК, Ростелеком) :</t>
  </si>
  <si>
    <r>
      <t>Начислено</t>
    </r>
    <r>
      <rPr>
        <b/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(содержание)</t>
    </r>
  </si>
  <si>
    <r>
      <t xml:space="preserve">Оплачено </t>
    </r>
    <r>
      <rPr>
        <b/>
        <sz val="10"/>
        <color indexed="8"/>
        <rFont val="Times New Roman"/>
        <family val="1"/>
      </rPr>
      <t>(содержание, ОСК, Ростелеком)</t>
    </r>
  </si>
  <si>
    <r>
      <t>Итого отклонение</t>
    </r>
    <r>
      <rPr>
        <b/>
        <i/>
        <sz val="10"/>
        <color indexed="8"/>
        <rFont val="Times New Roman"/>
        <family val="1"/>
      </rPr>
      <t xml:space="preserve"> с учетом ком.ресурсов</t>
    </r>
    <r>
      <rPr>
        <b/>
        <sz val="10"/>
        <color indexed="8"/>
        <rFont val="Times New Roman"/>
        <family val="1"/>
      </rPr>
      <t xml:space="preserve"> (т.руб.) </t>
    </r>
  </si>
  <si>
    <t xml:space="preserve">           Экономист ООО "Радиострой"                                                                           В.В.Бычкова</t>
  </si>
  <si>
    <t>по ул.Базарная, д.14</t>
  </si>
  <si>
    <t>по ул.Базарная, д.20</t>
  </si>
  <si>
    <t>Содержание и текущий ремонт жилищного фонда ( в т.ч.  ОСК, Ростелеком) :</t>
  </si>
  <si>
    <t>по ул.Базарная, д.21а</t>
  </si>
  <si>
    <t>Содержание и текущий ремонт жилищного фонда ( в т.ч. ОСК) :</t>
  </si>
  <si>
    <r>
      <t xml:space="preserve">Оплачено </t>
    </r>
    <r>
      <rPr>
        <b/>
        <sz val="10"/>
        <color indexed="8"/>
        <rFont val="Times New Roman"/>
        <family val="1"/>
      </rPr>
      <t>(содержание, ОСК)</t>
    </r>
  </si>
  <si>
    <t>по ул.Базарная, д.21в</t>
  </si>
  <si>
    <t>Содержание и текущий ремонт жилищного фонда :</t>
  </si>
  <si>
    <t>по ул.Базарная, д.23Б</t>
  </si>
  <si>
    <t>Содержание и текущий ремонт жилищного фонда:</t>
  </si>
  <si>
    <t>по ул.Баумана, д.1А</t>
  </si>
  <si>
    <t xml:space="preserve">Содержание и текущий ремонт жилищного фонда </t>
  </si>
  <si>
    <t>по ул.Баумана, д.1Б</t>
  </si>
  <si>
    <t>по ул.Баумана, д.33</t>
  </si>
  <si>
    <t>Содержание и текущий ремонт жилищного фонда ( в т.ч. ОСК):</t>
  </si>
  <si>
    <t>по ул.Баумана, д.35</t>
  </si>
  <si>
    <t>Начислено ком.ресурсы ГВС (руб.)</t>
  </si>
  <si>
    <t>Оплачено ком.ресурсы ГВС  (руб.)</t>
  </si>
  <si>
    <t>по ул.Баумана, д.37</t>
  </si>
  <si>
    <t>по ул.Баумана, д.39</t>
  </si>
  <si>
    <t>по ул.Деповская, д.2</t>
  </si>
  <si>
    <t>З/плата Председателя домового комитета</t>
  </si>
  <si>
    <t>по ул.Дугинец, д.28</t>
  </si>
  <si>
    <t>Содержание и текущий ремонт жилищного фонда ( в т.ч.  ОСК) :</t>
  </si>
  <si>
    <t>по ул.Железнодорожная, д.47/1</t>
  </si>
  <si>
    <t>по ул.Железнодорожная, д.49</t>
  </si>
  <si>
    <t>по ул.Железнодорожная, д.81</t>
  </si>
  <si>
    <t>по ул.Железнодорожная, д.83</t>
  </si>
  <si>
    <t>по ул.Железнодорожная, д.85</t>
  </si>
  <si>
    <t>по ул.Железнодорожная, д.87</t>
  </si>
  <si>
    <t>по ул.Коммунальный, д.6</t>
  </si>
  <si>
    <t>по ул.Кочубея, д.3</t>
  </si>
  <si>
    <t>по ул.Кочубея, д.8</t>
  </si>
  <si>
    <t>по ул.Красная, д.15</t>
  </si>
  <si>
    <t>по ул.Красная, д.23</t>
  </si>
  <si>
    <t>Содержание и текущий ремонт жилищного фонда ( в т.ч.  Ростелеком) :</t>
  </si>
  <si>
    <r>
      <t xml:space="preserve">Оплачено </t>
    </r>
    <r>
      <rPr>
        <b/>
        <sz val="10"/>
        <color indexed="8"/>
        <rFont val="Times New Roman"/>
        <family val="1"/>
      </rPr>
      <t>(содержание, Ростелеком)</t>
    </r>
  </si>
  <si>
    <t>по ул.Красная, д.27</t>
  </si>
  <si>
    <t>по ул.Красная, д.33</t>
  </si>
  <si>
    <t>по ул.Красная, д.39</t>
  </si>
  <si>
    <t>по ул.Красная, д.45</t>
  </si>
  <si>
    <t>по ул.Красная, д.52</t>
  </si>
  <si>
    <t>по ул.Красная, д.54</t>
  </si>
  <si>
    <t xml:space="preserve"> ООО «Радиострой» за   2017г.</t>
  </si>
  <si>
    <t>по ул.Красная, д.57</t>
  </si>
  <si>
    <t>Калькуляция тарифа на содержание и ремонт (ПЛАН) на 2017 год</t>
  </si>
  <si>
    <t>Фактические затраты за 2017 год (1полугодие)</t>
  </si>
  <si>
    <r>
      <t xml:space="preserve">Задолженность перед УО "ООО Радиострой" за период 2008-2017гг </t>
    </r>
    <r>
      <rPr>
        <b/>
        <i/>
        <sz val="10"/>
        <color indexed="8"/>
        <rFont val="Times New Roman"/>
        <family val="1"/>
      </rPr>
      <t>(т.руб.)</t>
    </r>
  </si>
  <si>
    <t>по ул.Красная, д.59</t>
  </si>
  <si>
    <t xml:space="preserve">Фактические затраты за 2018 год </t>
  </si>
  <si>
    <t>по ул.Красная, д.65</t>
  </si>
  <si>
    <t>по ул.Красная, д.67</t>
  </si>
  <si>
    <r>
      <t xml:space="preserve">З/плата контролера за ОДПУ </t>
    </r>
    <r>
      <rPr>
        <b/>
        <i/>
        <u val="single"/>
        <sz val="10"/>
        <color indexed="8"/>
        <rFont val="Times New Roman"/>
        <family val="1"/>
      </rPr>
      <t>(0,7 р. с 1м² январь-сентябрь; 0,9 р. с 1м² октябрь-декабрь)</t>
    </r>
  </si>
  <si>
    <t>по ул.Красная, д.70</t>
  </si>
  <si>
    <t>по ул.Красная, д.83</t>
  </si>
  <si>
    <t>по ул.Красная, д.96</t>
  </si>
  <si>
    <t>по ул.Красная, д.107</t>
  </si>
  <si>
    <t>Содержание и текущий ремонт жилищного фонда ( в т.ч. доп.услуга, ОСК) :</t>
  </si>
  <si>
    <r>
      <t xml:space="preserve">Оплачено </t>
    </r>
    <r>
      <rPr>
        <b/>
        <sz val="10"/>
        <color indexed="8"/>
        <rFont val="Times New Roman"/>
        <family val="1"/>
      </rPr>
      <t>(содержание, доп.услуга, ОСК)</t>
    </r>
  </si>
  <si>
    <t>по ул.Красная, д.140</t>
  </si>
  <si>
    <t>Содержание и текущий ремонт жилищного фонда ( в т.ч. , ОСК, Ростелеком, доп.услуга) :</t>
  </si>
  <si>
    <t>Задолженность перед УО "ООО Радиострой" за период 2008-2018гг (т.руб.)</t>
  </si>
  <si>
    <t>по ул.Красная, д.142</t>
  </si>
  <si>
    <t>Содержание и текущий ремонт жилищного фонда ( в т.ч. , ОСК, Ростелеком) :</t>
  </si>
  <si>
    <t>по ул.Красная, д.148</t>
  </si>
  <si>
    <t>по ул.Красноармейская, д.97а</t>
  </si>
  <si>
    <t>по ул.Красноармейская, д.307</t>
  </si>
  <si>
    <r>
      <t xml:space="preserve">Задолженность перед УО ООО "Радиострой" за период 2008-2018гг </t>
    </r>
    <r>
      <rPr>
        <b/>
        <i/>
        <sz val="10"/>
        <color indexed="8"/>
        <rFont val="Times New Roman"/>
        <family val="1"/>
      </rPr>
      <t>(т.руб.)</t>
    </r>
  </si>
  <si>
    <t>по ул.Красноармейская, д.309</t>
  </si>
  <si>
    <t>по ул.Красноармейская, д.404</t>
  </si>
  <si>
    <t>по ул.Красноармейская, д.406</t>
  </si>
  <si>
    <t>по ул.Красноармейская, д.410</t>
  </si>
  <si>
    <r>
      <t>Фактические затраты за</t>
    </r>
    <r>
      <rPr>
        <b/>
        <u val="single"/>
        <sz val="10"/>
        <rFont val="Times New Roman"/>
        <family val="1"/>
      </rPr>
      <t xml:space="preserve"> 10 месяцев</t>
    </r>
    <r>
      <rPr>
        <b/>
        <sz val="10"/>
        <rFont val="Times New Roman"/>
        <family val="1"/>
      </rPr>
      <t xml:space="preserve"> 2018 года </t>
    </r>
  </si>
  <si>
    <t>по ул.Красноармейская, д.414</t>
  </si>
  <si>
    <t>по ул.Красноармейская, д.416</t>
  </si>
  <si>
    <t>по ул.Краснодарская, д.80а</t>
  </si>
  <si>
    <t>по ул.Краснодарская, д.89</t>
  </si>
  <si>
    <t>по ул.Краснодарская, д.89а</t>
  </si>
  <si>
    <t>З/плата контролера за ОДПУ (до 01.07.2018г.)</t>
  </si>
  <si>
    <t>по ул.Краснодарская, д.91</t>
  </si>
  <si>
    <t>по ул.Краснодарская, д.93</t>
  </si>
  <si>
    <t>по ул.Лермонтова, д.7</t>
  </si>
  <si>
    <t>по пер.Лесной, д.15</t>
  </si>
  <si>
    <t>Начислено ком.ресурсы ГВС  (руб.)</t>
  </si>
  <si>
    <t>по ул.Мира, д.90</t>
  </si>
  <si>
    <t>Содержание и текущий ремонт жилищного фонда ( в т.ч.доп.услуга, ОСК, Ростелеком) :</t>
  </si>
  <si>
    <r>
      <t xml:space="preserve">Оплачено </t>
    </r>
    <r>
      <rPr>
        <b/>
        <sz val="10"/>
        <color indexed="8"/>
        <rFont val="Times New Roman"/>
        <family val="1"/>
      </rPr>
      <t>(содержание, доп.услуга ОСК, Ростелеком)</t>
    </r>
  </si>
  <si>
    <r>
      <t xml:space="preserve">Остаток средств за период 2008-2018гг </t>
    </r>
    <r>
      <rPr>
        <b/>
        <i/>
        <sz val="10"/>
        <color indexed="8"/>
        <rFont val="Times New Roman"/>
        <family val="1"/>
      </rPr>
      <t>(т.руб.)</t>
    </r>
  </si>
  <si>
    <t>по ул.Мира, д.90а</t>
  </si>
  <si>
    <t>по ул.Мира, д.92</t>
  </si>
  <si>
    <r>
      <t xml:space="preserve">Задолженность перед УО ООО "Радиострой"за период 2008-2018гг </t>
    </r>
    <r>
      <rPr>
        <b/>
        <i/>
        <sz val="10"/>
        <color indexed="8"/>
        <rFont val="Times New Roman"/>
        <family val="1"/>
      </rPr>
      <t>(т.руб.)</t>
    </r>
  </si>
  <si>
    <t>по ул.Мира, д.94</t>
  </si>
  <si>
    <t>по ул.Мира, д.121а</t>
  </si>
  <si>
    <t>по ул.Мопровский, д.9</t>
  </si>
  <si>
    <t>Начислено (содержание)</t>
  </si>
  <si>
    <t>Оплачено (содержание, ОСК)</t>
  </si>
  <si>
    <t>Дворовая территория (з/плата уб-дворн, соц.отчисления 30,3%, спец.одежда, инвентарь) вкл. прочие непредвиденные расходы (окраска газопровода)</t>
  </si>
  <si>
    <t>по ул.Новая, д.45</t>
  </si>
  <si>
    <t>Содержание и текущий ремонт жилищного фонда ( в т.ч. Ростелеком) :</t>
  </si>
  <si>
    <t>Оплачено (содержание, Ростелеком)</t>
  </si>
  <si>
    <t>по ул.Новая, д.47</t>
  </si>
  <si>
    <t>по ул.Новая, д.49</t>
  </si>
  <si>
    <t>по ул.Пушкина, д.45</t>
  </si>
  <si>
    <t>Содержание и текущий ремонт жилищного фонда ( в т.ч.доп.услуга,ОСК, Ростелеком) :</t>
  </si>
  <si>
    <t>Начислено (содержание, доп.услуга)</t>
  </si>
  <si>
    <t>Оплачено (содержание, доп.услуга,ОСК, Ростелеком)</t>
  </si>
  <si>
    <t>З/плата согласно решения собственников</t>
  </si>
  <si>
    <t>по ул.Пушкина, д.148</t>
  </si>
  <si>
    <t>по ул.Пушкина, д.148а</t>
  </si>
  <si>
    <t>Оплачено (содержание)</t>
  </si>
  <si>
    <t>по ул.С.Лазо, д.18</t>
  </si>
  <si>
    <t>Оплачено (содержание, ОСК, Ростелеком)</t>
  </si>
  <si>
    <t>по ул.С.Лазо, д.18а</t>
  </si>
  <si>
    <t>Оплачено (содержание, доп.услуга, ОСК, Ростелеком)</t>
  </si>
  <si>
    <t>по ул.С.Лазо, д.20</t>
  </si>
  <si>
    <t>Содержание и текущий ремонт жилищного фонда ( в т.ч.доп.услуга, Ростелеком) :</t>
  </si>
  <si>
    <t>по ул.С.Лазо, д.22</t>
  </si>
  <si>
    <t>по ул.С.Лазо, д.23б</t>
  </si>
  <si>
    <t>по ул.С.Лазо, д.24</t>
  </si>
  <si>
    <t>Оплачено (содержание,ОСК, Ростелеком)</t>
  </si>
  <si>
    <t>по ул.Советская, д.24</t>
  </si>
  <si>
    <t>по ул.Советская, д.26</t>
  </si>
  <si>
    <t>по ул.Б.Хмельницкого, д.75</t>
  </si>
  <si>
    <t>Содержание и текущий ремонт жилищного фонда ( в т.ч.доп.услуга, ОСК) :</t>
  </si>
  <si>
    <t>Оплачено (содержание, доп.услуга, ОСК)</t>
  </si>
  <si>
    <t>по ул.Б.Хмельницкого, д.77</t>
  </si>
  <si>
    <t>Содержание и текущий ремонт жилищного фонда ( в т.ч. , доп.услуга, ОСК) :</t>
  </si>
  <si>
    <t>Начислено ком.ресурсы Канализация (руб.)</t>
  </si>
  <si>
    <t>по ул.Черноморская, д.77</t>
  </si>
  <si>
    <t>по ул.Черноморская, д.81</t>
  </si>
  <si>
    <t xml:space="preserve">Фактические затраты за 2017 год </t>
  </si>
  <si>
    <t>по ул.Черноморская, д.98</t>
  </si>
  <si>
    <t>по ул.Черноморская, д.100</t>
  </si>
  <si>
    <t>Содержание и текущий ремонт жилищного фонда ( в т.ч. , доп.услуга, ОСК, Ростелеком) :</t>
  </si>
  <si>
    <t>З/плата контролера за ИПУ хвс, электр-гии</t>
  </si>
  <si>
    <t>по ул.Черноморская, д.102</t>
  </si>
  <si>
    <t>по ул.Гагарина, д.318 корпус 1</t>
  </si>
  <si>
    <t>Содержание и текущий ремонт жилищного фонда ( в т.ч. доп.услуга, Ростелеком) :</t>
  </si>
  <si>
    <r>
      <t xml:space="preserve">Остаток средств за период 2016-2018гг </t>
    </r>
    <r>
      <rPr>
        <b/>
        <i/>
        <sz val="10"/>
        <color indexed="8"/>
        <rFont val="Times New Roman"/>
        <family val="1"/>
      </rPr>
      <t>(т.руб.)</t>
    </r>
  </si>
  <si>
    <t>по ул.Гагарина, д.318 корпус 2</t>
  </si>
  <si>
    <t>Содержание и текущий ремонт жилищного фонда ( в т.ч. Доп.услуга Ростелеком) :</t>
  </si>
  <si>
    <r>
      <t xml:space="preserve">Задолженность перед УО ООО "Радиострой" за период 2016-2018гг </t>
    </r>
    <r>
      <rPr>
        <b/>
        <i/>
        <sz val="10"/>
        <color indexed="8"/>
        <rFont val="Times New Roman"/>
        <family val="1"/>
      </rPr>
      <t>(т.руб.)</t>
    </r>
  </si>
  <si>
    <t>по ул.Красноармейская, д.97б</t>
  </si>
  <si>
    <t>по ул.Пушкина, д.31</t>
  </si>
  <si>
    <t>по ул.Пушкина, д.32</t>
  </si>
  <si>
    <t>Дворовая территория (окраска газопровода)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</si>
</sst>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.000"/>
  </numFmts>
  <fonts count="14"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.5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wrapText="1" shrinkToFit="1"/>
    </xf>
    <xf numFmtId="164" fontId="2" fillId="0" borderId="1" xfId="0" applyFont="1" applyBorder="1" applyAlignment="1">
      <alignment horizontal="left" wrapText="1"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/>
    </xf>
    <xf numFmtId="164" fontId="8" fillId="0" borderId="0" xfId="0" applyFont="1" applyAlignment="1">
      <alignment/>
    </xf>
    <xf numFmtId="165" fontId="1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left" vertical="center" wrapText="1"/>
    </xf>
    <xf numFmtId="164" fontId="10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 wrapText="1"/>
    </xf>
    <xf numFmtId="164" fontId="10" fillId="0" borderId="0" xfId="0" applyFont="1" applyBorder="1" applyAlignment="1">
      <alignment/>
    </xf>
    <xf numFmtId="166" fontId="9" fillId="0" borderId="0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5" fontId="10" fillId="0" borderId="0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4" fontId="10" fillId="0" borderId="0" xfId="0" applyFont="1" applyBorder="1" applyAlignment="1">
      <alignment horizontal="left" wrapText="1"/>
    </xf>
    <xf numFmtId="166" fontId="0" fillId="0" borderId="0" xfId="0" applyNumberFormat="1" applyAlignment="1">
      <alignment/>
    </xf>
    <xf numFmtId="164" fontId="10" fillId="0" borderId="0" xfId="0" applyFont="1" applyBorder="1" applyAlignment="1">
      <alignment horizontal="left" wrapText="1" shrinkToFit="1"/>
    </xf>
    <xf numFmtId="165" fontId="9" fillId="0" borderId="0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9" fillId="0" borderId="0" xfId="0" applyFont="1" applyAlignment="1">
      <alignment/>
    </xf>
    <xf numFmtId="164" fontId="3" fillId="0" borderId="0" xfId="0" applyFont="1" applyAlignment="1">
      <alignment/>
    </xf>
    <xf numFmtId="167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471"/>
  <sheetViews>
    <sheetView tabSelected="1" workbookViewId="0" topLeftCell="A1">
      <selection activeCell="H2483" sqref="H2483"/>
    </sheetView>
  </sheetViews>
  <sheetFormatPr defaultColWidth="12.57421875" defaultRowHeight="12.75"/>
  <cols>
    <col min="1" max="1" width="11.57421875" style="0" customWidth="1"/>
    <col min="2" max="2" width="10.8515625" style="0" customWidth="1"/>
    <col min="3" max="3" width="45.00390625" style="0" customWidth="1"/>
    <col min="4" max="4" width="9.8515625" style="0" customWidth="1"/>
    <col min="5" max="5" width="6.00390625" style="0" customWidth="1"/>
    <col min="6" max="6" width="9.7109375" style="0" customWidth="1"/>
    <col min="7" max="7" width="6.00390625" style="0" customWidth="1"/>
    <col min="8" max="16384" width="11.57421875" style="0" customWidth="1"/>
  </cols>
  <sheetData>
    <row r="2" spans="2:7" ht="12.75">
      <c r="B2" s="1" t="s">
        <v>0</v>
      </c>
      <c r="C2" s="1"/>
      <c r="D2" s="1"/>
      <c r="E2" s="1"/>
      <c r="F2" s="1"/>
      <c r="G2" s="1"/>
    </row>
    <row r="3" spans="2:7" ht="12.75">
      <c r="B3" s="1" t="s">
        <v>1</v>
      </c>
      <c r="C3" s="1"/>
      <c r="D3" s="1"/>
      <c r="E3" s="1"/>
      <c r="F3" s="1"/>
      <c r="G3" s="1"/>
    </row>
    <row r="4" spans="2:7" ht="12.75">
      <c r="B4" s="1" t="s">
        <v>2</v>
      </c>
      <c r="C4" s="1"/>
      <c r="D4" s="1"/>
      <c r="E4" s="1"/>
      <c r="F4" s="1"/>
      <c r="G4" s="1"/>
    </row>
    <row r="5" spans="2:7" ht="12.75" customHeight="1">
      <c r="B5" s="2"/>
      <c r="C5" s="2" t="s">
        <v>3</v>
      </c>
      <c r="D5" s="3" t="s">
        <v>4</v>
      </c>
      <c r="E5" s="3"/>
      <c r="F5" s="4" t="s">
        <v>5</v>
      </c>
      <c r="G5" s="4"/>
    </row>
    <row r="6" spans="2:7" ht="12.75">
      <c r="B6" s="2"/>
      <c r="C6" s="2"/>
      <c r="D6" s="3" t="s">
        <v>6</v>
      </c>
      <c r="E6" s="3" t="s">
        <v>7</v>
      </c>
      <c r="F6" s="3" t="s">
        <v>6</v>
      </c>
      <c r="G6" s="3" t="s">
        <v>8</v>
      </c>
    </row>
    <row r="7" spans="2:7" ht="12.75">
      <c r="B7" s="5">
        <v>1</v>
      </c>
      <c r="C7" s="6" t="s">
        <v>9</v>
      </c>
      <c r="D7" s="1">
        <v>4254.05</v>
      </c>
      <c r="E7" s="1"/>
      <c r="F7" s="1">
        <v>4281.6</v>
      </c>
      <c r="G7" s="1"/>
    </row>
    <row r="8" spans="2:7" ht="12.75">
      <c r="B8" s="5">
        <v>2</v>
      </c>
      <c r="C8" s="7" t="s">
        <v>10</v>
      </c>
      <c r="D8" s="8"/>
      <c r="E8" s="8"/>
      <c r="F8" s="8"/>
      <c r="G8" s="8"/>
    </row>
    <row r="9" spans="2:7" ht="12.75">
      <c r="B9" s="5"/>
      <c r="C9" s="6" t="s">
        <v>11</v>
      </c>
      <c r="D9" s="9"/>
      <c r="E9" s="9"/>
      <c r="F9" s="9">
        <v>1006736.77</v>
      </c>
      <c r="G9" s="9"/>
    </row>
    <row r="10" spans="2:7" ht="12.75">
      <c r="B10" s="5"/>
      <c r="C10" s="2" t="s">
        <v>12</v>
      </c>
      <c r="D10" s="9"/>
      <c r="E10" s="9"/>
      <c r="F10" s="9">
        <v>850243.53</v>
      </c>
      <c r="G10" s="9"/>
    </row>
    <row r="11" spans="2:7" ht="12.75">
      <c r="B11" s="5"/>
      <c r="C11" s="2" t="s">
        <v>13</v>
      </c>
      <c r="D11" s="9"/>
      <c r="E11" s="9"/>
      <c r="F11" s="9">
        <f>F10-F9</f>
        <v>-156493.24</v>
      </c>
      <c r="G11" s="9"/>
    </row>
    <row r="12" spans="2:7" ht="12.75">
      <c r="B12" s="5">
        <v>3</v>
      </c>
      <c r="C12" s="10" t="s">
        <v>14</v>
      </c>
      <c r="D12" s="1" t="s">
        <v>15</v>
      </c>
      <c r="E12" s="1"/>
      <c r="F12" s="1" t="s">
        <v>15</v>
      </c>
      <c r="G12" s="1"/>
    </row>
    <row r="13" spans="2:7" ht="12.75">
      <c r="B13" s="11" t="s">
        <v>16</v>
      </c>
      <c r="C13" s="11"/>
      <c r="D13" s="12">
        <v>131.4</v>
      </c>
      <c r="E13" s="13">
        <f>D13/4254.05/12*1000</f>
        <v>2.5740177007792577</v>
      </c>
      <c r="F13" s="13">
        <v>135.9</v>
      </c>
      <c r="G13" s="13">
        <f>F13/4281.6/12*1000</f>
        <v>2.6450392376681613</v>
      </c>
    </row>
    <row r="14" spans="2:7" ht="12.75" customHeight="1">
      <c r="B14" s="14" t="s">
        <v>17</v>
      </c>
      <c r="C14" s="14"/>
      <c r="D14" s="1">
        <f>D15+D16+D17</f>
        <v>249</v>
      </c>
      <c r="E14" s="13">
        <f>D14/4254.05/12*1000</f>
        <v>4.877704775449278</v>
      </c>
      <c r="F14" s="1">
        <f>F15+F16+F17</f>
        <v>338.03</v>
      </c>
      <c r="G14" s="13">
        <f>F14/4281.6/12*1000</f>
        <v>6.579121512207274</v>
      </c>
    </row>
    <row r="15" spans="2:7" ht="12.75">
      <c r="B15" s="2"/>
      <c r="C15" s="15" t="s">
        <v>18</v>
      </c>
      <c r="D15" s="16">
        <v>223.7</v>
      </c>
      <c r="E15" s="13">
        <f>D15/4254.05/12*1000</f>
        <v>4.382098627582343</v>
      </c>
      <c r="F15" s="16">
        <f>82.2+4.4+137.6</f>
        <v>224.2</v>
      </c>
      <c r="G15" s="13">
        <f>F15/4281.6/12*1000</f>
        <v>4.363633532635775</v>
      </c>
    </row>
    <row r="16" spans="2:7" ht="12.75">
      <c r="B16" s="2"/>
      <c r="C16" s="15" t="s">
        <v>19</v>
      </c>
      <c r="D16" s="17">
        <v>25.3</v>
      </c>
      <c r="E16" s="13">
        <f>D16/4254.05/12*1000</f>
        <v>0.49560614786693463</v>
      </c>
      <c r="F16" s="17">
        <v>106.83</v>
      </c>
      <c r="G16" s="13">
        <f>F16/4281.6/12*1000</f>
        <v>2.0792460762331837</v>
      </c>
    </row>
    <row r="17" spans="2:7" ht="12.75">
      <c r="B17" s="11" t="s">
        <v>20</v>
      </c>
      <c r="C17" s="11"/>
      <c r="D17" s="18">
        <v>0</v>
      </c>
      <c r="E17" s="13">
        <f>D17/4254.05/12*1000</f>
        <v>0</v>
      </c>
      <c r="F17" s="18">
        <v>7</v>
      </c>
      <c r="G17" s="13">
        <f>F17/4281.6/12*1000</f>
        <v>0.13624190333831587</v>
      </c>
    </row>
    <row r="18" spans="2:7" ht="12.75" customHeight="1">
      <c r="B18" s="19" t="s">
        <v>21</v>
      </c>
      <c r="C18" s="19"/>
      <c r="D18" s="13">
        <f>D19+D21+D20</f>
        <v>319.06</v>
      </c>
      <c r="E18" s="13">
        <f>D18/4254.05/12*1000</f>
        <v>6.250122432348781</v>
      </c>
      <c r="F18" s="13">
        <f>F19+F21+F20</f>
        <v>315.43</v>
      </c>
      <c r="G18" s="13">
        <f>F18/4281.6/12*1000</f>
        <v>6.139254795714997</v>
      </c>
    </row>
    <row r="19" spans="2:7" ht="12.75">
      <c r="B19" s="2"/>
      <c r="C19" s="15" t="s">
        <v>22</v>
      </c>
      <c r="D19" s="9">
        <v>267.5</v>
      </c>
      <c r="E19" s="13">
        <f>D19/4254.05/12*1000</f>
        <v>5.240104527842095</v>
      </c>
      <c r="F19" s="8">
        <f>192+58.6+8.4+25.9+2.8+0.9+9.5+0.43+3</f>
        <v>301.53</v>
      </c>
      <c r="G19" s="13">
        <f>F19/4281.6/12*1000</f>
        <v>5.868717301943198</v>
      </c>
    </row>
    <row r="20" spans="2:7" ht="12.75">
      <c r="B20" s="2"/>
      <c r="C20" s="15" t="s">
        <v>23</v>
      </c>
      <c r="D20" s="9">
        <v>47.48</v>
      </c>
      <c r="E20" s="13">
        <f>D20/4254.05/12*1000</f>
        <v>0.9300940672222155</v>
      </c>
      <c r="F20" s="9">
        <v>7.8</v>
      </c>
      <c r="G20" s="13">
        <f>F20/4281.6/12*1000</f>
        <v>0.15181240657698056</v>
      </c>
    </row>
    <row r="21" spans="2:7" ht="12.75">
      <c r="B21" s="2"/>
      <c r="C21" s="20" t="s">
        <v>24</v>
      </c>
      <c r="D21" s="9">
        <v>4.08</v>
      </c>
      <c r="E21" s="13">
        <f>D21/4254.05/12*1000</f>
        <v>0.0799238372844701</v>
      </c>
      <c r="F21" s="9">
        <v>6.1</v>
      </c>
      <c r="G21" s="13">
        <f>F21/4281.6/12*1000</f>
        <v>0.11872508719481813</v>
      </c>
    </row>
    <row r="22" spans="2:7" ht="12.75">
      <c r="B22" s="11" t="s">
        <v>25</v>
      </c>
      <c r="C22" s="11"/>
      <c r="D22" s="1">
        <v>28.08</v>
      </c>
      <c r="E22" s="13">
        <f>D22/4254.05/12*1000</f>
        <v>0.5500640566048824</v>
      </c>
      <c r="F22" s="1">
        <v>25.4</v>
      </c>
      <c r="G22" s="13">
        <f>F22/4281.6/12*1000</f>
        <v>0.49436347782760337</v>
      </c>
    </row>
    <row r="23" spans="2:7" ht="12.75">
      <c r="B23" s="21" t="s">
        <v>26</v>
      </c>
      <c r="C23" s="21"/>
      <c r="D23" s="1">
        <v>157.7</v>
      </c>
      <c r="E23" s="13">
        <f>D23/4254.05/12*1000</f>
        <v>3.0892130244512086</v>
      </c>
      <c r="F23" s="12">
        <v>132</v>
      </c>
      <c r="G23" s="13">
        <f>F23/4281.6/12*1000</f>
        <v>2.569133034379671</v>
      </c>
    </row>
    <row r="24" spans="2:7" ht="12.75">
      <c r="B24" s="21"/>
      <c r="C24" s="22" t="s">
        <v>27</v>
      </c>
      <c r="D24" s="13">
        <v>0</v>
      </c>
      <c r="E24" s="13">
        <f>D24/4254.05/12*1000</f>
        <v>0</v>
      </c>
      <c r="F24" s="1">
        <v>54.98</v>
      </c>
      <c r="G24" s="13">
        <f>F24/4281.6/12*1000</f>
        <v>1.0700828350772296</v>
      </c>
    </row>
    <row r="25" spans="2:7" ht="12.75">
      <c r="B25" s="2"/>
      <c r="C25" s="10" t="s">
        <v>28</v>
      </c>
      <c r="D25" s="12">
        <f>D13+D14+D18+D22+D23</f>
        <v>885.24</v>
      </c>
      <c r="E25" s="13">
        <f>E13+E14+E18+E22+E23</f>
        <v>17.341121989633407</v>
      </c>
      <c r="F25" s="12">
        <f>F13+F14+F18+F22+F23+F24</f>
        <v>1001.7399999999999</v>
      </c>
      <c r="G25" s="13">
        <f>G13+G14+G18+G22+G23</f>
        <v>18.426912057797704</v>
      </c>
    </row>
    <row r="26" spans="2:7" ht="12.75">
      <c r="B26" s="2">
        <v>4</v>
      </c>
      <c r="C26" s="10" t="s">
        <v>29</v>
      </c>
      <c r="D26" s="13">
        <v>88.5</v>
      </c>
      <c r="E26" s="13">
        <v>1.73</v>
      </c>
      <c r="F26" s="12"/>
      <c r="G26" s="12"/>
    </row>
    <row r="27" spans="2:7" ht="12.75">
      <c r="B27" s="5">
        <v>5</v>
      </c>
      <c r="C27" s="10" t="s">
        <v>13</v>
      </c>
      <c r="D27" s="13">
        <f>D25+D26</f>
        <v>973.74</v>
      </c>
      <c r="E27" s="13">
        <f>E25+E26</f>
        <v>19.071121989633408</v>
      </c>
      <c r="F27" s="13">
        <f>F25-F10/1000</f>
        <v>151.49646999999982</v>
      </c>
      <c r="G27" s="13"/>
    </row>
    <row r="28" spans="2:7" ht="12.75">
      <c r="B28" s="5"/>
      <c r="C28" s="10"/>
      <c r="D28" s="13"/>
      <c r="E28" s="13"/>
      <c r="F28" s="13"/>
      <c r="G28" s="13"/>
    </row>
    <row r="29" spans="2:7" ht="12.75">
      <c r="B29" s="23" t="s">
        <v>30</v>
      </c>
      <c r="C29" s="23"/>
      <c r="D29" s="24" t="s">
        <v>6</v>
      </c>
      <c r="E29" s="25"/>
      <c r="F29" s="23"/>
      <c r="G29" s="23"/>
    </row>
    <row r="30" spans="2:7" ht="12.75">
      <c r="B30" s="23"/>
      <c r="C30" s="23" t="s">
        <v>31</v>
      </c>
      <c r="D30" s="25">
        <v>7104.4</v>
      </c>
      <c r="E30" s="25"/>
      <c r="F30" s="23"/>
      <c r="G30" s="23"/>
    </row>
    <row r="31" spans="2:7" ht="12.75">
      <c r="B31" s="23"/>
      <c r="C31" s="23" t="s">
        <v>32</v>
      </c>
      <c r="D31" s="25">
        <v>5787.8</v>
      </c>
      <c r="E31" s="25"/>
      <c r="F31" s="23"/>
      <c r="G31" s="23"/>
    </row>
    <row r="32" spans="2:7" ht="12.75">
      <c r="B32" s="23"/>
      <c r="C32" s="23" t="s">
        <v>13</v>
      </c>
      <c r="D32" s="25">
        <f>D30-D31</f>
        <v>1316.5999999999995</v>
      </c>
      <c r="E32" s="25"/>
      <c r="F32" s="23"/>
      <c r="G32" s="23"/>
    </row>
    <row r="33" spans="2:7" ht="12.75">
      <c r="B33" s="23"/>
      <c r="C33" s="23" t="s">
        <v>33</v>
      </c>
      <c r="D33" s="25">
        <v>7792.66</v>
      </c>
      <c r="E33" s="25"/>
      <c r="F33" s="23"/>
      <c r="G33" s="23"/>
    </row>
    <row r="34" spans="2:7" ht="12.75">
      <c r="B34" s="23"/>
      <c r="C34" s="23" t="s">
        <v>34</v>
      </c>
      <c r="D34" s="25">
        <v>6215.55</v>
      </c>
      <c r="E34" s="25"/>
      <c r="F34" s="23"/>
      <c r="G34" s="23"/>
    </row>
    <row r="35" spans="2:7" ht="12.75">
      <c r="B35" s="23"/>
      <c r="C35" s="23" t="s">
        <v>13</v>
      </c>
      <c r="D35" s="25">
        <f>D33-D34</f>
        <v>1577.1099999999997</v>
      </c>
      <c r="E35" s="25"/>
      <c r="F35" s="23"/>
      <c r="G35" s="23"/>
    </row>
    <row r="36" spans="2:7" ht="12.75">
      <c r="B36" s="23"/>
      <c r="C36" s="23" t="s">
        <v>35</v>
      </c>
      <c r="D36" s="25">
        <f>D32+D35</f>
        <v>2893.709999999999</v>
      </c>
      <c r="E36" s="25"/>
      <c r="F36" s="23"/>
      <c r="G36" s="23"/>
    </row>
    <row r="37" spans="2:7" ht="12.75">
      <c r="B37" s="23"/>
      <c r="C37" s="23"/>
      <c r="D37" s="25"/>
      <c r="E37" s="25"/>
      <c r="F37" s="23"/>
      <c r="G37" s="23"/>
    </row>
    <row r="38" spans="2:7" ht="12.75">
      <c r="B38" s="23"/>
      <c r="C38" s="26" t="s">
        <v>36</v>
      </c>
      <c r="D38" s="25" t="s">
        <v>37</v>
      </c>
      <c r="E38" s="25"/>
      <c r="F38" s="23">
        <v>150.77</v>
      </c>
      <c r="G38" s="23"/>
    </row>
    <row r="39" spans="2:7" ht="12.75">
      <c r="B39" s="11"/>
      <c r="C39" s="14" t="s">
        <v>38</v>
      </c>
      <c r="D39" s="27"/>
      <c r="E39" s="25"/>
      <c r="F39" s="28">
        <v>591</v>
      </c>
      <c r="G39" s="25"/>
    </row>
    <row r="40" spans="2:7" ht="12.75">
      <c r="B40" s="23" t="s">
        <v>39</v>
      </c>
      <c r="C40" s="23"/>
      <c r="D40" s="23"/>
      <c r="E40" s="23"/>
      <c r="F40" s="23"/>
      <c r="G40" s="23"/>
    </row>
    <row r="41" spans="2:4" ht="12.75">
      <c r="B41" s="29"/>
      <c r="C41" s="29"/>
      <c r="D41" s="29"/>
    </row>
    <row r="42" spans="2:4" ht="12.75">
      <c r="B42" s="30"/>
      <c r="C42" s="31"/>
      <c r="D42" s="29"/>
    </row>
    <row r="43" spans="2:7" ht="12.75">
      <c r="B43" s="1" t="s">
        <v>0</v>
      </c>
      <c r="C43" s="1"/>
      <c r="D43" s="1"/>
      <c r="E43" s="1"/>
      <c r="F43" s="1"/>
      <c r="G43" s="1"/>
    </row>
    <row r="44" spans="2:7" ht="12.75">
      <c r="B44" s="1" t="s">
        <v>1</v>
      </c>
      <c r="C44" s="1"/>
      <c r="D44" s="1"/>
      <c r="E44" s="1"/>
      <c r="F44" s="1"/>
      <c r="G44" s="1"/>
    </row>
    <row r="45" spans="2:7" ht="12.75">
      <c r="B45" s="1" t="s">
        <v>40</v>
      </c>
      <c r="C45" s="1"/>
      <c r="D45" s="1"/>
      <c r="E45" s="1"/>
      <c r="F45" s="1"/>
      <c r="G45" s="1"/>
    </row>
    <row r="46" spans="2:7" ht="12.75" customHeight="1">
      <c r="B46" s="2"/>
      <c r="C46" s="2" t="s">
        <v>3</v>
      </c>
      <c r="D46" s="3" t="s">
        <v>41</v>
      </c>
      <c r="E46" s="3"/>
      <c r="F46" s="4" t="s">
        <v>5</v>
      </c>
      <c r="G46" s="4"/>
    </row>
    <row r="47" spans="2:7" ht="12.75">
      <c r="B47" s="2"/>
      <c r="C47" s="2"/>
      <c r="D47" s="3" t="s">
        <v>6</v>
      </c>
      <c r="E47" s="3" t="s">
        <v>7</v>
      </c>
      <c r="F47" s="3" t="s">
        <v>6</v>
      </c>
      <c r="G47" s="3" t="s">
        <v>8</v>
      </c>
    </row>
    <row r="48" spans="2:7" ht="12.75">
      <c r="B48" s="5">
        <v>1</v>
      </c>
      <c r="C48" s="6" t="s">
        <v>9</v>
      </c>
      <c r="D48" s="1">
        <v>3532.4</v>
      </c>
      <c r="E48" s="1"/>
      <c r="F48" s="12">
        <v>3532</v>
      </c>
      <c r="G48" s="12"/>
    </row>
    <row r="49" spans="2:7" ht="12.75">
      <c r="B49" s="5">
        <v>2</v>
      </c>
      <c r="C49" s="7" t="s">
        <v>10</v>
      </c>
      <c r="D49" s="8"/>
      <c r="E49" s="8"/>
      <c r="F49" s="8"/>
      <c r="G49" s="8"/>
    </row>
    <row r="50" spans="2:7" ht="12.75">
      <c r="B50" s="5"/>
      <c r="C50" s="6" t="s">
        <v>11</v>
      </c>
      <c r="D50" s="9"/>
      <c r="E50" s="9"/>
      <c r="F50" s="9">
        <v>874569.46</v>
      </c>
      <c r="G50" s="9"/>
    </row>
    <row r="51" spans="2:7" ht="12.75">
      <c r="B51" s="5"/>
      <c r="C51" s="2" t="s">
        <v>12</v>
      </c>
      <c r="D51" s="9"/>
      <c r="E51" s="9"/>
      <c r="F51" s="9">
        <v>859040.65</v>
      </c>
      <c r="G51" s="9"/>
    </row>
    <row r="52" spans="2:7" ht="12.75">
      <c r="B52" s="5"/>
      <c r="C52" s="2" t="s">
        <v>13</v>
      </c>
      <c r="D52" s="9"/>
      <c r="E52" s="9"/>
      <c r="F52" s="9">
        <f>F51-F50</f>
        <v>-15528.80999999994</v>
      </c>
      <c r="G52" s="9"/>
    </row>
    <row r="53" spans="2:7" ht="12.75">
      <c r="B53" s="5">
        <v>3</v>
      </c>
      <c r="C53" s="10" t="s">
        <v>14</v>
      </c>
      <c r="D53" s="1" t="s">
        <v>15</v>
      </c>
      <c r="E53" s="1"/>
      <c r="F53" s="1" t="s">
        <v>15</v>
      </c>
      <c r="G53" s="1"/>
    </row>
    <row r="54" spans="2:7" ht="12.75">
      <c r="B54" s="11" t="s">
        <v>16</v>
      </c>
      <c r="C54" s="11"/>
      <c r="D54" s="12">
        <v>114.7</v>
      </c>
      <c r="E54" s="13">
        <f>D54/3532.4/12*1000</f>
        <v>2.7059034461933344</v>
      </c>
      <c r="F54" s="13">
        <v>118.1</v>
      </c>
      <c r="G54" s="13">
        <f>F54/3532/12*1000</f>
        <v>2.7864288410721025</v>
      </c>
    </row>
    <row r="55" spans="2:7" ht="12.75" customHeight="1">
      <c r="B55" s="14" t="s">
        <v>17</v>
      </c>
      <c r="C55" s="14"/>
      <c r="D55" s="1">
        <f>D56+D57+D58</f>
        <v>237.2</v>
      </c>
      <c r="E55" s="13">
        <f>D55/3532.4/12*1000</f>
        <v>5.595817763182727</v>
      </c>
      <c r="F55" s="1">
        <f>F56+F57+F58</f>
        <v>219.85999999999999</v>
      </c>
      <c r="G55" s="1">
        <f>G56+G57+G58</f>
        <v>5.187334843337108</v>
      </c>
    </row>
    <row r="56" spans="2:7" ht="12.75">
      <c r="B56" s="2"/>
      <c r="C56" s="15" t="s">
        <v>18</v>
      </c>
      <c r="D56" s="16">
        <v>184</v>
      </c>
      <c r="E56" s="13">
        <f>D56/3532.4/12*1000</f>
        <v>4.340769259804477</v>
      </c>
      <c r="F56" s="16">
        <f>67.8+3.7+113.46</f>
        <v>184.95999999999998</v>
      </c>
      <c r="G56" s="9">
        <f>F56/3532/12*1000</f>
        <v>4.363910909777274</v>
      </c>
    </row>
    <row r="57" spans="2:7" ht="12.75">
      <c r="B57" s="2"/>
      <c r="C57" s="15" t="s">
        <v>19</v>
      </c>
      <c r="D57" s="17">
        <v>53.2</v>
      </c>
      <c r="E57" s="13">
        <f>D57/3532.4/12*1000</f>
        <v>1.2550485033782508</v>
      </c>
      <c r="F57" s="17">
        <v>34.9</v>
      </c>
      <c r="G57" s="9">
        <f>F57/3532/12*1000</f>
        <v>0.8234239335598338</v>
      </c>
    </row>
    <row r="58" spans="2:7" ht="12.75">
      <c r="B58" s="32" t="s">
        <v>20</v>
      </c>
      <c r="C58" s="32"/>
      <c r="D58" s="18">
        <v>0</v>
      </c>
      <c r="E58" s="13">
        <f>D58/4364.25/12*1000</f>
        <v>0</v>
      </c>
      <c r="F58" s="18">
        <v>0</v>
      </c>
      <c r="G58" s="9">
        <f>F58/3532/12*1000</f>
        <v>0</v>
      </c>
    </row>
    <row r="59" spans="2:7" ht="12.75" customHeight="1">
      <c r="B59" s="19" t="s">
        <v>21</v>
      </c>
      <c r="C59" s="19"/>
      <c r="D59" s="13">
        <f>D60+D62+D61</f>
        <v>265.09</v>
      </c>
      <c r="E59" s="13">
        <f>E60+E62+E61</f>
        <v>6.253774581965047</v>
      </c>
      <c r="F59" s="13">
        <f>F60+F62+F61</f>
        <v>266.41</v>
      </c>
      <c r="G59" s="13">
        <f>G60+G62+G61</f>
        <v>6.28562665156663</v>
      </c>
    </row>
    <row r="60" spans="2:7" ht="12.75">
      <c r="B60" s="2"/>
      <c r="C60" s="15" t="s">
        <v>22</v>
      </c>
      <c r="D60" s="9">
        <v>222.1</v>
      </c>
      <c r="E60" s="13">
        <f>D60/3532.4/12*1000</f>
        <v>5.239591590231382</v>
      </c>
      <c r="F60" s="8">
        <f>158.37+48.3+6.9+21.4+2.9+2.1+8.9+0.36+2.48</f>
        <v>251.71000000000004</v>
      </c>
      <c r="G60" s="9">
        <f>F60/3532/12*1000</f>
        <v>5.938797659494149</v>
      </c>
    </row>
    <row r="61" spans="2:7" ht="12.75">
      <c r="B61" s="2"/>
      <c r="C61" s="15" t="s">
        <v>23</v>
      </c>
      <c r="D61" s="9">
        <v>39.6</v>
      </c>
      <c r="E61" s="13">
        <f>D61/3532.4/12*1000</f>
        <v>0.9342090363492244</v>
      </c>
      <c r="F61" s="9">
        <v>11.8</v>
      </c>
      <c r="G61" s="9">
        <f>F61/3532/12*1000</f>
        <v>0.27840694601736504</v>
      </c>
    </row>
    <row r="62" spans="2:7" ht="12.75">
      <c r="B62" s="2"/>
      <c r="C62" s="20" t="s">
        <v>24</v>
      </c>
      <c r="D62" s="9">
        <v>3.39</v>
      </c>
      <c r="E62" s="13">
        <f>D62/3532.4/12*1000</f>
        <v>0.07997395538444117</v>
      </c>
      <c r="F62" s="9">
        <v>2.9</v>
      </c>
      <c r="G62" s="9">
        <f>F62/3532/12*1000</f>
        <v>0.06842204605511515</v>
      </c>
    </row>
    <row r="63" spans="2:7" ht="12.75">
      <c r="B63" s="11" t="s">
        <v>25</v>
      </c>
      <c r="C63" s="11"/>
      <c r="D63" s="12">
        <v>24.9</v>
      </c>
      <c r="E63" s="13">
        <f>D63/3532.4/12*1000</f>
        <v>0.5874193183104971</v>
      </c>
      <c r="F63" s="1">
        <v>25.7</v>
      </c>
      <c r="G63" s="9">
        <f>F63/3532/12*1000</f>
        <v>0.6063608909022272</v>
      </c>
    </row>
    <row r="64" spans="2:7" ht="12.75">
      <c r="B64" s="21" t="s">
        <v>26</v>
      </c>
      <c r="C64" s="21"/>
      <c r="D64" s="12">
        <v>131</v>
      </c>
      <c r="E64" s="13">
        <f>D64/3532.4/12*1000</f>
        <v>3.090438983882535</v>
      </c>
      <c r="F64" s="1">
        <f>23.7+108.9</f>
        <v>132.6</v>
      </c>
      <c r="G64" s="9">
        <f>F64/3532/12*1000</f>
        <v>3.128539071347678</v>
      </c>
    </row>
    <row r="65" spans="2:7" ht="12.75">
      <c r="B65" s="21"/>
      <c r="C65" s="22" t="s">
        <v>27</v>
      </c>
      <c r="D65" s="13">
        <v>0</v>
      </c>
      <c r="E65" s="13">
        <v>0</v>
      </c>
      <c r="F65" s="1">
        <v>27.97</v>
      </c>
      <c r="G65" s="9">
        <f>F65/3532/12*1000</f>
        <v>0.6599188372970933</v>
      </c>
    </row>
    <row r="66" spans="2:7" ht="12.75">
      <c r="B66" s="2"/>
      <c r="C66" s="10" t="s">
        <v>28</v>
      </c>
      <c r="D66" s="12">
        <f>D54+D55+D59+D63+D64</f>
        <v>772.89</v>
      </c>
      <c r="E66" s="12">
        <f>E54+E55+E59+E63+E64</f>
        <v>18.23335409353414</v>
      </c>
      <c r="F66" s="12">
        <f>F54+F55+F59+F63+F64+F65</f>
        <v>790.6400000000001</v>
      </c>
      <c r="G66" s="13">
        <f>G54+G55+G59+G63+G64</f>
        <v>17.994290298225746</v>
      </c>
    </row>
    <row r="67" spans="2:7" ht="12.75">
      <c r="B67" s="2">
        <v>4</v>
      </c>
      <c r="C67" s="10" t="s">
        <v>29</v>
      </c>
      <c r="D67" s="13">
        <v>77.3</v>
      </c>
      <c r="E67" s="13">
        <v>1.82</v>
      </c>
      <c r="F67" s="12"/>
      <c r="G67" s="12"/>
    </row>
    <row r="68" spans="2:7" ht="12.75">
      <c r="B68" s="5">
        <v>5</v>
      </c>
      <c r="C68" s="10" t="s">
        <v>13</v>
      </c>
      <c r="D68" s="13">
        <f>D66+D67</f>
        <v>850.1899999999999</v>
      </c>
      <c r="E68" s="13">
        <f>E66+E67</f>
        <v>20.05335409353414</v>
      </c>
      <c r="F68" s="13">
        <f>F66-F51/1000</f>
        <v>-68.40064999999993</v>
      </c>
      <c r="G68" s="13"/>
    </row>
    <row r="69" spans="2:7" ht="12.75">
      <c r="B69" s="23"/>
      <c r="C69" s="23"/>
      <c r="D69" s="25"/>
      <c r="E69" s="25"/>
      <c r="F69" s="23"/>
      <c r="G69" s="23"/>
    </row>
    <row r="70" spans="2:7" ht="12.75">
      <c r="B70" s="23"/>
      <c r="C70" s="23"/>
      <c r="D70" s="25"/>
      <c r="E70" s="25"/>
      <c r="F70" s="23"/>
      <c r="G70" s="23"/>
    </row>
    <row r="71" spans="2:7" ht="12.75">
      <c r="B71" s="11" t="s">
        <v>30</v>
      </c>
      <c r="C71" s="11"/>
      <c r="D71" s="33" t="s">
        <v>6</v>
      </c>
      <c r="E71" s="25"/>
      <c r="F71" s="25"/>
      <c r="G71" s="25"/>
    </row>
    <row r="72" spans="2:7" ht="12.75">
      <c r="B72" s="25"/>
      <c r="C72" s="34" t="s">
        <v>31</v>
      </c>
      <c r="D72" s="35">
        <v>21049.5</v>
      </c>
      <c r="E72" s="25"/>
      <c r="F72" s="25"/>
      <c r="G72" s="25"/>
    </row>
    <row r="73" spans="2:7" ht="12.75">
      <c r="B73" s="5"/>
      <c r="C73" s="23" t="s">
        <v>32</v>
      </c>
      <c r="D73" s="35">
        <v>22379.7</v>
      </c>
      <c r="E73" s="25"/>
      <c r="F73" s="25"/>
      <c r="G73" s="25"/>
    </row>
    <row r="74" spans="2:7" ht="12.75">
      <c r="B74" s="5"/>
      <c r="C74" s="36" t="s">
        <v>13</v>
      </c>
      <c r="D74" s="33">
        <f>D73-D72</f>
        <v>1330.2000000000007</v>
      </c>
      <c r="E74" s="25"/>
      <c r="F74" s="25"/>
      <c r="G74" s="25"/>
    </row>
    <row r="75" spans="2:7" ht="12.75">
      <c r="B75" s="5"/>
      <c r="C75" s="34" t="s">
        <v>33</v>
      </c>
      <c r="D75" s="35">
        <v>23274.38</v>
      </c>
      <c r="E75" s="25"/>
      <c r="F75" s="25"/>
      <c r="G75" s="25"/>
    </row>
    <row r="76" spans="2:7" ht="12.75">
      <c r="B76" s="5"/>
      <c r="C76" s="23" t="s">
        <v>34</v>
      </c>
      <c r="D76" s="35">
        <v>24251.38</v>
      </c>
      <c r="E76" s="25"/>
      <c r="F76" s="25"/>
      <c r="G76" s="25"/>
    </row>
    <row r="77" spans="2:7" ht="12.75">
      <c r="B77" s="5"/>
      <c r="C77" s="36" t="s">
        <v>13</v>
      </c>
      <c r="D77" s="33">
        <f>D76-D75</f>
        <v>977</v>
      </c>
      <c r="E77" s="25"/>
      <c r="F77" s="25"/>
      <c r="G77" s="25"/>
    </row>
    <row r="78" spans="2:7" ht="12.75">
      <c r="B78" s="5"/>
      <c r="C78" s="34" t="s">
        <v>42</v>
      </c>
      <c r="D78" s="35">
        <v>11194.06</v>
      </c>
      <c r="E78" s="25"/>
      <c r="F78" s="25"/>
      <c r="G78" s="25"/>
    </row>
    <row r="79" spans="2:7" ht="12.75">
      <c r="B79" s="5"/>
      <c r="C79" s="23" t="s">
        <v>43</v>
      </c>
      <c r="D79" s="35">
        <v>8950.32</v>
      </c>
      <c r="E79" s="25"/>
      <c r="F79" s="25"/>
      <c r="G79" s="25"/>
    </row>
    <row r="80" spans="2:7" ht="12.75">
      <c r="B80" s="5"/>
      <c r="C80" s="36" t="s">
        <v>13</v>
      </c>
      <c r="D80" s="33">
        <f>D79-D78</f>
        <v>-2243.74</v>
      </c>
      <c r="E80" s="25"/>
      <c r="F80" s="25"/>
      <c r="G80" s="25"/>
    </row>
    <row r="81" spans="2:7" ht="12.75">
      <c r="B81" s="11"/>
      <c r="C81" s="11" t="s">
        <v>35</v>
      </c>
      <c r="D81" s="27">
        <f>D74+D77+D80</f>
        <v>63.460000000000946</v>
      </c>
      <c r="E81" s="25"/>
      <c r="F81" s="25"/>
      <c r="G81" s="25"/>
    </row>
    <row r="82" spans="2:7" ht="12.75">
      <c r="B82" s="11"/>
      <c r="C82" s="11"/>
      <c r="D82" s="27"/>
      <c r="E82" s="25"/>
      <c r="F82" s="25"/>
      <c r="G82" s="25"/>
    </row>
    <row r="83" spans="2:7" ht="12.75">
      <c r="B83" s="11"/>
      <c r="C83" s="14" t="s">
        <v>44</v>
      </c>
      <c r="D83" s="27" t="s">
        <v>37</v>
      </c>
      <c r="E83" s="25"/>
      <c r="F83" s="24">
        <v>-68.5</v>
      </c>
      <c r="G83" s="25"/>
    </row>
    <row r="84" spans="2:7" ht="12.75">
      <c r="B84" s="11"/>
      <c r="C84" s="14" t="s">
        <v>45</v>
      </c>
      <c r="D84" s="27"/>
      <c r="E84" s="25"/>
      <c r="F84" s="24">
        <v>-188.2</v>
      </c>
      <c r="G84" s="25"/>
    </row>
    <row r="85" spans="2:7" ht="12.75">
      <c r="B85" s="23" t="s">
        <v>39</v>
      </c>
      <c r="C85" s="23"/>
      <c r="D85" s="23"/>
      <c r="E85" s="23"/>
      <c r="F85" s="23"/>
      <c r="G85" s="23"/>
    </row>
    <row r="86" spans="2:7" ht="12.75">
      <c r="B86" s="1" t="s">
        <v>0</v>
      </c>
      <c r="C86" s="1"/>
      <c r="D86" s="1"/>
      <c r="E86" s="1"/>
      <c r="F86" s="1"/>
      <c r="G86" s="1"/>
    </row>
    <row r="87" spans="2:7" ht="12.75">
      <c r="B87" s="1" t="s">
        <v>46</v>
      </c>
      <c r="C87" s="1"/>
      <c r="D87" s="1"/>
      <c r="E87" s="1"/>
      <c r="F87" s="1"/>
      <c r="G87" s="1"/>
    </row>
    <row r="88" spans="2:7" ht="12.75">
      <c r="B88" s="1" t="s">
        <v>47</v>
      </c>
      <c r="C88" s="1"/>
      <c r="D88" s="1"/>
      <c r="E88" s="1"/>
      <c r="F88" s="1"/>
      <c r="G88" s="1"/>
    </row>
    <row r="89" spans="2:7" ht="12.75" customHeight="1">
      <c r="B89" s="2"/>
      <c r="C89" s="2" t="s">
        <v>3</v>
      </c>
      <c r="D89" s="3" t="s">
        <v>41</v>
      </c>
      <c r="E89" s="3"/>
      <c r="F89" s="4" t="s">
        <v>5</v>
      </c>
      <c r="G89" s="4"/>
    </row>
    <row r="90" spans="2:7" ht="12.75">
      <c r="B90" s="2"/>
      <c r="C90" s="2"/>
      <c r="D90" s="3" t="s">
        <v>6</v>
      </c>
      <c r="E90" s="3" t="s">
        <v>7</v>
      </c>
      <c r="F90" s="3" t="s">
        <v>6</v>
      </c>
      <c r="G90" s="3" t="s">
        <v>8</v>
      </c>
    </row>
    <row r="91" spans="2:7" ht="12.75">
      <c r="B91" s="5">
        <v>1</v>
      </c>
      <c r="C91" s="6" t="s">
        <v>9</v>
      </c>
      <c r="D91" s="12">
        <v>362</v>
      </c>
      <c r="E91" s="12"/>
      <c r="F91" s="12">
        <v>362</v>
      </c>
      <c r="G91" s="12"/>
    </row>
    <row r="92" spans="2:7" ht="12.75">
      <c r="B92" s="5">
        <v>2</v>
      </c>
      <c r="C92" s="7" t="s">
        <v>48</v>
      </c>
      <c r="D92" s="8"/>
      <c r="E92" s="8"/>
      <c r="F92" s="8"/>
      <c r="G92" s="8"/>
    </row>
    <row r="93" spans="2:7" ht="12.75">
      <c r="B93" s="5"/>
      <c r="C93" s="2" t="s">
        <v>49</v>
      </c>
      <c r="D93" s="9"/>
      <c r="E93" s="9"/>
      <c r="F93" s="9">
        <v>87097.2</v>
      </c>
      <c r="G93" s="9"/>
    </row>
    <row r="94" spans="2:7" ht="12.75">
      <c r="B94" s="5"/>
      <c r="C94" s="2" t="s">
        <v>50</v>
      </c>
      <c r="D94" s="9"/>
      <c r="E94" s="9"/>
      <c r="F94" s="9">
        <v>95519.38</v>
      </c>
      <c r="G94" s="9"/>
    </row>
    <row r="95" spans="2:7" ht="12.75">
      <c r="B95" s="5"/>
      <c r="C95" s="2" t="s">
        <v>13</v>
      </c>
      <c r="D95" s="9"/>
      <c r="E95" s="9"/>
      <c r="F95" s="9">
        <f>F94-F93</f>
        <v>8422.180000000008</v>
      </c>
      <c r="G95" s="9"/>
    </row>
    <row r="96" spans="2:7" ht="12.75">
      <c r="B96" s="5">
        <v>3</v>
      </c>
      <c r="C96" s="10" t="s">
        <v>14</v>
      </c>
      <c r="D96" s="1" t="s">
        <v>15</v>
      </c>
      <c r="E96" s="1"/>
      <c r="F96" s="1" t="s">
        <v>15</v>
      </c>
      <c r="G96" s="1"/>
    </row>
    <row r="97" spans="2:7" ht="12.75">
      <c r="B97" s="11" t="s">
        <v>16</v>
      </c>
      <c r="C97" s="11"/>
      <c r="D97" s="13">
        <v>11.77</v>
      </c>
      <c r="E97" s="13">
        <f>D97/362/12*1000</f>
        <v>2.7094843462246776</v>
      </c>
      <c r="F97" s="13">
        <v>11.76</v>
      </c>
      <c r="G97" s="13">
        <f>F97/362/12*1000</f>
        <v>2.7071823204419894</v>
      </c>
    </row>
    <row r="98" spans="2:7" ht="12.75" customHeight="1">
      <c r="B98" s="14" t="s">
        <v>17</v>
      </c>
      <c r="C98" s="14"/>
      <c r="D98" s="1">
        <f>D99+D100+D101</f>
        <v>24.36</v>
      </c>
      <c r="E98" s="13">
        <f>D98/362/12*1000</f>
        <v>5.607734806629835</v>
      </c>
      <c r="F98" s="1">
        <f>F99+F100+F101</f>
        <v>27.88</v>
      </c>
      <c r="G98" s="1">
        <f>G99+G100+G101</f>
        <v>6.418047882136279</v>
      </c>
    </row>
    <row r="99" spans="2:7" ht="12.75">
      <c r="B99" s="2"/>
      <c r="C99" s="15" t="s">
        <v>18</v>
      </c>
      <c r="D99" s="16">
        <v>18.89</v>
      </c>
      <c r="E99" s="13">
        <f>D99/362/12*1000</f>
        <v>4.348526703499079</v>
      </c>
      <c r="F99" s="16">
        <f>6.95+0.33+11.6</f>
        <v>18.88</v>
      </c>
      <c r="G99" s="9">
        <f>F99/362/12*1000</f>
        <v>4.34622467771639</v>
      </c>
    </row>
    <row r="100" spans="2:7" ht="12.75">
      <c r="B100" s="2"/>
      <c r="C100" s="15" t="s">
        <v>19</v>
      </c>
      <c r="D100" s="17">
        <v>5.47</v>
      </c>
      <c r="E100" s="13">
        <f>D100/362/12*1000</f>
        <v>1.259208103130755</v>
      </c>
      <c r="F100" s="18">
        <v>4.8</v>
      </c>
      <c r="G100" s="9">
        <f>F100/362/12*1000</f>
        <v>1.1049723756906078</v>
      </c>
    </row>
    <row r="101" spans="2:7" ht="12.75">
      <c r="B101" s="32" t="s">
        <v>20</v>
      </c>
      <c r="C101" s="32"/>
      <c r="D101" s="18">
        <v>0</v>
      </c>
      <c r="E101" s="13">
        <f>D101/362/12*1000</f>
        <v>0</v>
      </c>
      <c r="F101" s="18">
        <v>4.2</v>
      </c>
      <c r="G101" s="9">
        <f>F101/362/12*1000</f>
        <v>0.9668508287292819</v>
      </c>
    </row>
    <row r="102" spans="2:7" ht="12.75" customHeight="1">
      <c r="B102" s="19" t="s">
        <v>21</v>
      </c>
      <c r="C102" s="19"/>
      <c r="D102" s="13">
        <f>D103+D105+D104</f>
        <v>27.14</v>
      </c>
      <c r="E102" s="13">
        <f>E103+E105+E104</f>
        <v>6.247697974217312</v>
      </c>
      <c r="F102" s="13">
        <f>F103+F105+F104</f>
        <v>28.139999999999997</v>
      </c>
      <c r="G102" s="13">
        <f>G103+G105+G104</f>
        <v>6.4779005524861875</v>
      </c>
    </row>
    <row r="103" spans="2:7" ht="12.75">
      <c r="B103" s="2"/>
      <c r="C103" s="15" t="s">
        <v>22</v>
      </c>
      <c r="D103" s="9">
        <v>22.76</v>
      </c>
      <c r="E103" s="9">
        <f>D103/362/12*1000</f>
        <v>5.239410681399632</v>
      </c>
      <c r="F103" s="8">
        <f>16.2+5+0.7+2.2+0.3+0.45+1.9+0.04+0.25</f>
        <v>27.039999999999996</v>
      </c>
      <c r="G103" s="9">
        <f>F103/362/12*1000</f>
        <v>6.224677716390423</v>
      </c>
    </row>
    <row r="104" spans="2:7" ht="12.75">
      <c r="B104" s="2"/>
      <c r="C104" s="15" t="s">
        <v>23</v>
      </c>
      <c r="D104" s="9">
        <v>4.04</v>
      </c>
      <c r="E104" s="13">
        <f>D104/362/12*1000</f>
        <v>0.9300184162062616</v>
      </c>
      <c r="F104" s="9">
        <v>1.1</v>
      </c>
      <c r="G104" s="9">
        <f>F104/362/12*1000</f>
        <v>0.2532228360957643</v>
      </c>
    </row>
    <row r="105" spans="2:7" ht="12.75">
      <c r="B105" s="2"/>
      <c r="C105" s="20" t="s">
        <v>24</v>
      </c>
      <c r="D105" s="9">
        <v>0.34</v>
      </c>
      <c r="E105" s="13">
        <f>D105/362/12*1000</f>
        <v>0.07826887661141806</v>
      </c>
      <c r="F105" s="9">
        <v>0</v>
      </c>
      <c r="G105" s="9">
        <f>F105/362/12*1000</f>
        <v>0</v>
      </c>
    </row>
    <row r="106" spans="2:7" ht="12.75">
      <c r="B106" s="11" t="s">
        <v>25</v>
      </c>
      <c r="C106" s="11"/>
      <c r="D106" s="1">
        <v>2.55</v>
      </c>
      <c r="E106" s="13">
        <f>D106/362/12*1000</f>
        <v>0.5870165745856354</v>
      </c>
      <c r="F106" s="13">
        <v>2.87</v>
      </c>
      <c r="G106" s="9">
        <f>F106/362/12*1000</f>
        <v>0.6606813996316759</v>
      </c>
    </row>
    <row r="107" spans="2:7" ht="12.75">
      <c r="B107" s="21" t="s">
        <v>26</v>
      </c>
      <c r="C107" s="21"/>
      <c r="D107" s="1">
        <v>13.42</v>
      </c>
      <c r="E107" s="13">
        <f>D107/362/12*1000</f>
        <v>3.089318600368324</v>
      </c>
      <c r="F107" s="1">
        <f>2.43+11.16</f>
        <v>13.59</v>
      </c>
      <c r="G107" s="9">
        <f>F107/362/12*1000</f>
        <v>3.128453038674033</v>
      </c>
    </row>
    <row r="108" spans="2:7" ht="12.75">
      <c r="B108" s="2"/>
      <c r="C108" s="10" t="s">
        <v>28</v>
      </c>
      <c r="D108" s="13">
        <f>D97+D98+D102+D106+D107</f>
        <v>79.24</v>
      </c>
      <c r="E108" s="12">
        <f>E97+E98+E102+E106+E107</f>
        <v>18.241252302025785</v>
      </c>
      <c r="F108" s="12">
        <f>F97+F98+F102+F106+F107</f>
        <v>84.24000000000001</v>
      </c>
      <c r="G108" s="13">
        <f>G97+G98+G102+G106+G107</f>
        <v>19.392265193370164</v>
      </c>
    </row>
    <row r="109" spans="2:7" ht="12.75">
      <c r="B109" s="2">
        <v>4</v>
      </c>
      <c r="C109" s="10" t="s">
        <v>29</v>
      </c>
      <c r="D109" s="13">
        <v>7.92</v>
      </c>
      <c r="E109" s="12">
        <v>1.81</v>
      </c>
      <c r="F109" s="12"/>
      <c r="G109" s="12"/>
    </row>
    <row r="110" spans="2:7" ht="12.75">
      <c r="B110" s="5">
        <v>5</v>
      </c>
      <c r="C110" s="10" t="s">
        <v>13</v>
      </c>
      <c r="D110" s="13">
        <f>D108+D109</f>
        <v>87.16</v>
      </c>
      <c r="E110" s="13">
        <f>E108+E109</f>
        <v>20.051252302025784</v>
      </c>
      <c r="F110" s="13">
        <f>F108-F94/1000</f>
        <v>-11.279379999999989</v>
      </c>
      <c r="G110" s="13"/>
    </row>
    <row r="111" spans="2:7" ht="12.75">
      <c r="B111" s="5"/>
      <c r="C111" s="14" t="s">
        <v>38</v>
      </c>
      <c r="D111" s="13"/>
      <c r="E111" s="13"/>
      <c r="F111" s="13">
        <v>-2.5</v>
      </c>
      <c r="G111" s="13"/>
    </row>
    <row r="112" spans="2:7" ht="12.75">
      <c r="B112" s="23" t="s">
        <v>39</v>
      </c>
      <c r="C112" s="23"/>
      <c r="D112" s="23"/>
      <c r="E112" s="23"/>
      <c r="F112" s="23"/>
      <c r="G112" s="23"/>
    </row>
    <row r="114" spans="2:7" ht="12.75">
      <c r="B114" s="1" t="s">
        <v>0</v>
      </c>
      <c r="C114" s="1"/>
      <c r="D114" s="1"/>
      <c r="E114" s="1"/>
      <c r="F114" s="1"/>
      <c r="G114" s="1"/>
    </row>
    <row r="115" spans="2:7" ht="12.75">
      <c r="B115" s="1" t="s">
        <v>51</v>
      </c>
      <c r="C115" s="1"/>
      <c r="D115" s="1"/>
      <c r="E115" s="1"/>
      <c r="F115" s="1"/>
      <c r="G115" s="1"/>
    </row>
    <row r="116" spans="2:7" ht="12.75">
      <c r="B116" s="1" t="s">
        <v>52</v>
      </c>
      <c r="C116" s="1"/>
      <c r="D116" s="1"/>
      <c r="E116" s="1"/>
      <c r="F116" s="1"/>
      <c r="G116" s="1"/>
    </row>
    <row r="117" spans="2:7" ht="12.75" customHeight="1">
      <c r="B117" s="2"/>
      <c r="C117" s="2" t="s">
        <v>3</v>
      </c>
      <c r="D117" s="3" t="s">
        <v>4</v>
      </c>
      <c r="E117" s="3"/>
      <c r="F117" s="4" t="s">
        <v>5</v>
      </c>
      <c r="G117" s="4"/>
    </row>
    <row r="118" spans="2:7" ht="12.75">
      <c r="B118" s="2"/>
      <c r="C118" s="2"/>
      <c r="D118" s="3" t="s">
        <v>6</v>
      </c>
      <c r="E118" s="3" t="s">
        <v>7</v>
      </c>
      <c r="F118" s="3" t="s">
        <v>6</v>
      </c>
      <c r="G118" s="3" t="s">
        <v>8</v>
      </c>
    </row>
    <row r="119" spans="2:7" ht="12.75">
      <c r="B119" s="5">
        <v>1</v>
      </c>
      <c r="C119" s="6" t="s">
        <v>9</v>
      </c>
      <c r="D119" s="12">
        <v>374.7</v>
      </c>
      <c r="E119" s="12"/>
      <c r="F119" s="12">
        <v>374.7</v>
      </c>
      <c r="G119" s="12"/>
    </row>
    <row r="120" spans="2:7" ht="12.75">
      <c r="B120" s="5">
        <v>2</v>
      </c>
      <c r="C120" s="7" t="s">
        <v>53</v>
      </c>
      <c r="D120" s="8"/>
      <c r="E120" s="8"/>
      <c r="F120" s="8"/>
      <c r="G120" s="8"/>
    </row>
    <row r="121" spans="2:7" ht="12.75">
      <c r="B121" s="5"/>
      <c r="C121" s="2" t="s">
        <v>49</v>
      </c>
      <c r="D121" s="9"/>
      <c r="E121" s="9"/>
      <c r="F121" s="9">
        <v>94649.22</v>
      </c>
      <c r="G121" s="9"/>
    </row>
    <row r="122" spans="2:7" ht="12.75">
      <c r="B122" s="5"/>
      <c r="C122" s="2" t="s">
        <v>50</v>
      </c>
      <c r="D122" s="9"/>
      <c r="E122" s="9"/>
      <c r="F122" s="9">
        <v>99201.03</v>
      </c>
      <c r="G122" s="9"/>
    </row>
    <row r="123" spans="2:7" ht="12.75">
      <c r="B123" s="5"/>
      <c r="C123" s="2" t="s">
        <v>13</v>
      </c>
      <c r="D123" s="9"/>
      <c r="E123" s="9"/>
      <c r="F123" s="9">
        <f>F122-F121</f>
        <v>4551.809999999998</v>
      </c>
      <c r="G123" s="9"/>
    </row>
    <row r="124" spans="2:7" ht="12.75">
      <c r="B124" s="5">
        <v>3</v>
      </c>
      <c r="C124" s="10" t="s">
        <v>14</v>
      </c>
      <c r="D124" s="1" t="s">
        <v>15</v>
      </c>
      <c r="E124" s="1"/>
      <c r="F124" s="1" t="s">
        <v>15</v>
      </c>
      <c r="G124" s="1"/>
    </row>
    <row r="125" spans="2:7" ht="12.75">
      <c r="B125" s="11" t="s">
        <v>16</v>
      </c>
      <c r="C125" s="11"/>
      <c r="D125" s="13">
        <v>12.2</v>
      </c>
      <c r="E125" s="13">
        <f>D125/374.7/12*1000</f>
        <v>2.7132817365003112</v>
      </c>
      <c r="F125" s="13">
        <v>12.78</v>
      </c>
      <c r="G125" s="13">
        <f>F125/374.7/12*1000</f>
        <v>2.8422738190552446</v>
      </c>
    </row>
    <row r="126" spans="2:7" ht="12.75" customHeight="1">
      <c r="B126" s="14" t="s">
        <v>17</v>
      </c>
      <c r="C126" s="14"/>
      <c r="D126" s="1">
        <f>D127+D128+D129</f>
        <v>25.16</v>
      </c>
      <c r="E126" s="13">
        <f>D126/374.7/12*1000</f>
        <v>5.595587581176051</v>
      </c>
      <c r="F126" s="1">
        <f>F127+F128+F129</f>
        <v>24.14</v>
      </c>
      <c r="G126" s="13">
        <f>G127+G128+G129</f>
        <v>5.368739435993239</v>
      </c>
    </row>
    <row r="127" spans="2:7" ht="12.75">
      <c r="B127" s="2"/>
      <c r="C127" s="15" t="s">
        <v>18</v>
      </c>
      <c r="D127" s="9">
        <v>19.5</v>
      </c>
      <c r="E127" s="13">
        <f>D127/374.7/12*1000</f>
        <v>4.336802775553776</v>
      </c>
      <c r="F127" s="9">
        <f>7.2+0.3+12</f>
        <v>19.5</v>
      </c>
      <c r="G127" s="9">
        <f>F127/374.7/12*1000</f>
        <v>4.336802775553776</v>
      </c>
    </row>
    <row r="128" spans="2:7" ht="12.75">
      <c r="B128" s="2"/>
      <c r="C128" s="15" t="s">
        <v>19</v>
      </c>
      <c r="D128" s="18">
        <v>5.66</v>
      </c>
      <c r="E128" s="13">
        <f>D128/374.7/12*1000</f>
        <v>1.2587848056222757</v>
      </c>
      <c r="F128" s="17">
        <v>4.64</v>
      </c>
      <c r="G128" s="9">
        <f>F128/374.7/12*1000</f>
        <v>1.0319366604394626</v>
      </c>
    </row>
    <row r="129" spans="2:7" ht="12.75">
      <c r="B129" s="32" t="s">
        <v>20</v>
      </c>
      <c r="C129" s="32"/>
      <c r="D129" s="18">
        <v>0</v>
      </c>
      <c r="E129" s="13">
        <f>D129/374.7/12*1000</f>
        <v>0</v>
      </c>
      <c r="F129" s="18">
        <v>0</v>
      </c>
      <c r="G129" s="9">
        <f>F129/374.7/12*1000</f>
        <v>0</v>
      </c>
    </row>
    <row r="130" spans="2:7" ht="12.75" customHeight="1">
      <c r="B130" s="19" t="s">
        <v>21</v>
      </c>
      <c r="C130" s="19"/>
      <c r="D130" s="13">
        <f>D131+D133+D132</f>
        <v>28.119999999999997</v>
      </c>
      <c r="E130" s="13">
        <f>E131+E133+E132</f>
        <v>6.253892002490881</v>
      </c>
      <c r="F130" s="13">
        <f>F131+F133+F132</f>
        <v>31.139999999999997</v>
      </c>
      <c r="G130" s="13">
        <f>G131+G133+G132</f>
        <v>6.925540432345877</v>
      </c>
    </row>
    <row r="131" spans="2:7" ht="12.75">
      <c r="B131" s="2"/>
      <c r="C131" s="15" t="s">
        <v>22</v>
      </c>
      <c r="D131" s="9">
        <v>23.56</v>
      </c>
      <c r="E131" s="9">
        <f>D131/374.7/12*1000</f>
        <v>5.239747353438306</v>
      </c>
      <c r="F131" s="8">
        <f>16.8+5.1+0.7+2.27+0.3+5.1+0.04+0.26</f>
        <v>30.569999999999997</v>
      </c>
      <c r="G131" s="9">
        <f>F131/374.7/12*1000</f>
        <v>6.798772351214305</v>
      </c>
    </row>
    <row r="132" spans="2:7" ht="12.75">
      <c r="B132" s="2"/>
      <c r="C132" s="15" t="s">
        <v>23</v>
      </c>
      <c r="D132" s="9">
        <v>4.2</v>
      </c>
      <c r="E132" s="9">
        <f>D132/374.7/12*1000</f>
        <v>0.9340805978115827</v>
      </c>
      <c r="F132" s="9">
        <v>0.5700000000000001</v>
      </c>
      <c r="G132" s="9">
        <f>F132/374.7/12*1000</f>
        <v>0.12676808113157195</v>
      </c>
    </row>
    <row r="133" spans="2:7" ht="12.75">
      <c r="B133" s="2"/>
      <c r="C133" s="20" t="s">
        <v>24</v>
      </c>
      <c r="D133" s="9">
        <v>0.36</v>
      </c>
      <c r="E133" s="9">
        <f>D133/374.7/12*1000</f>
        <v>0.08006405124099279</v>
      </c>
      <c r="F133" s="9">
        <v>0</v>
      </c>
      <c r="G133" s="9">
        <f>F133/374.7/12*1000</f>
        <v>0</v>
      </c>
    </row>
    <row r="134" spans="2:7" ht="12.75">
      <c r="B134" s="11" t="s">
        <v>25</v>
      </c>
      <c r="C134" s="11"/>
      <c r="D134" s="1">
        <v>2.65</v>
      </c>
      <c r="E134" s="9">
        <f>D134/374.7/12*1000</f>
        <v>0.5893603771906414</v>
      </c>
      <c r="F134" s="13">
        <v>2.98</v>
      </c>
      <c r="G134" s="9">
        <f>F134/374.7/12*1000</f>
        <v>0.6627524241615514</v>
      </c>
    </row>
    <row r="135" spans="2:7" ht="12.75">
      <c r="B135" s="21" t="s">
        <v>26</v>
      </c>
      <c r="C135" s="21"/>
      <c r="D135" s="13">
        <v>13.9</v>
      </c>
      <c r="E135" s="9">
        <f>D135/374.7/12*1000</f>
        <v>3.091361978471666</v>
      </c>
      <c r="F135" s="1">
        <f>2.5+11.56</f>
        <v>14.06</v>
      </c>
      <c r="G135" s="9">
        <f>F135/374.7/12*1000</f>
        <v>3.126946001245441</v>
      </c>
    </row>
    <row r="136" spans="2:7" ht="12.75">
      <c r="B136" s="2"/>
      <c r="C136" s="10" t="s">
        <v>28</v>
      </c>
      <c r="D136" s="13">
        <f>D125+D126+D130+D134+D135</f>
        <v>82.03</v>
      </c>
      <c r="E136" s="12">
        <f>E125+E126+E130+E134+E135</f>
        <v>18.24348367582955</v>
      </c>
      <c r="F136" s="13">
        <f>F125+F126+F130+F134+F135</f>
        <v>85.10000000000001</v>
      </c>
      <c r="G136" s="13">
        <f>G125+G126+G130+G134+G135</f>
        <v>18.926252112801354</v>
      </c>
    </row>
    <row r="137" spans="2:7" ht="12.75">
      <c r="B137" s="2">
        <v>4</v>
      </c>
      <c r="C137" s="10" t="s">
        <v>29</v>
      </c>
      <c r="D137" s="13">
        <v>8.2</v>
      </c>
      <c r="E137" s="12">
        <v>1.81</v>
      </c>
      <c r="F137" s="12"/>
      <c r="G137" s="12"/>
    </row>
    <row r="138" spans="2:7" ht="12.75">
      <c r="B138" s="5">
        <v>5</v>
      </c>
      <c r="C138" s="10" t="s">
        <v>13</v>
      </c>
      <c r="D138" s="13">
        <f>D136+D137</f>
        <v>90.23</v>
      </c>
      <c r="E138" s="13">
        <f>E136+E137</f>
        <v>20.05348367582955</v>
      </c>
      <c r="F138" s="13">
        <f>F136-F122/1000</f>
        <v>-14.101029999999994</v>
      </c>
      <c r="G138" s="13"/>
    </row>
    <row r="139" spans="2:7" ht="12.75">
      <c r="B139" s="5"/>
      <c r="C139" s="14" t="s">
        <v>38</v>
      </c>
      <c r="D139" s="13"/>
      <c r="E139" s="13"/>
      <c r="F139" s="37">
        <v>20</v>
      </c>
      <c r="G139" s="13"/>
    </row>
    <row r="140" spans="2:7" ht="12.75">
      <c r="B140" s="23" t="s">
        <v>39</v>
      </c>
      <c r="C140" s="23"/>
      <c r="D140" s="23"/>
      <c r="E140" s="23"/>
      <c r="F140" s="23"/>
      <c r="G140" s="23"/>
    </row>
    <row r="141" spans="2:4" ht="12.75">
      <c r="B141" s="30"/>
      <c r="C141" s="29"/>
      <c r="D141" s="38"/>
    </row>
    <row r="142" spans="2:4" ht="12.75">
      <c r="B142" s="30"/>
      <c r="C142" s="29"/>
      <c r="D142" s="38"/>
    </row>
    <row r="143" spans="2:7" ht="12.75">
      <c r="B143" s="1" t="s">
        <v>0</v>
      </c>
      <c r="C143" s="1"/>
      <c r="D143" s="1"/>
      <c r="E143" s="1"/>
      <c r="F143" s="1"/>
      <c r="G143" s="1"/>
    </row>
    <row r="144" spans="2:7" ht="12.75">
      <c r="B144" s="1" t="s">
        <v>51</v>
      </c>
      <c r="C144" s="1"/>
      <c r="D144" s="1"/>
      <c r="E144" s="1"/>
      <c r="F144" s="1"/>
      <c r="G144" s="1"/>
    </row>
    <row r="145" spans="2:7" ht="12.75">
      <c r="B145" s="1" t="s">
        <v>54</v>
      </c>
      <c r="C145" s="1"/>
      <c r="D145" s="1"/>
      <c r="E145" s="1"/>
      <c r="F145" s="1"/>
      <c r="G145" s="1"/>
    </row>
    <row r="146" spans="2:7" ht="12.75" customHeight="1">
      <c r="B146" s="2"/>
      <c r="C146" s="2" t="s">
        <v>3</v>
      </c>
      <c r="D146" s="3" t="s">
        <v>41</v>
      </c>
      <c r="E146" s="3"/>
      <c r="F146" s="4" t="s">
        <v>5</v>
      </c>
      <c r="G146" s="4"/>
    </row>
    <row r="147" spans="2:7" ht="12.75">
      <c r="B147" s="2"/>
      <c r="C147" s="2"/>
      <c r="D147" s="3" t="s">
        <v>6</v>
      </c>
      <c r="E147" s="3" t="s">
        <v>7</v>
      </c>
      <c r="F147" s="3" t="s">
        <v>6</v>
      </c>
      <c r="G147" s="3" t="s">
        <v>8</v>
      </c>
    </row>
    <row r="148" spans="2:7" ht="12.75">
      <c r="B148" s="5">
        <v>1</v>
      </c>
      <c r="C148" s="6" t="s">
        <v>9</v>
      </c>
      <c r="D148" s="1">
        <v>2833.3</v>
      </c>
      <c r="E148" s="1"/>
      <c r="F148" s="1">
        <v>2833.3</v>
      </c>
      <c r="G148" s="1"/>
    </row>
    <row r="149" spans="2:7" ht="12.75">
      <c r="B149" s="5">
        <v>2</v>
      </c>
      <c r="C149" s="7" t="s">
        <v>55</v>
      </c>
      <c r="D149" s="8"/>
      <c r="E149" s="8"/>
      <c r="F149" s="8" t="s">
        <v>3</v>
      </c>
      <c r="G149" s="8"/>
    </row>
    <row r="150" spans="2:7" ht="12.75">
      <c r="B150" s="5"/>
      <c r="C150" s="6" t="s">
        <v>56</v>
      </c>
      <c r="D150" s="9"/>
      <c r="E150" s="9"/>
      <c r="F150" s="9">
        <v>678945.62</v>
      </c>
      <c r="G150" s="9"/>
    </row>
    <row r="151" spans="2:7" ht="12.75">
      <c r="B151" s="5"/>
      <c r="C151" s="2" t="s">
        <v>57</v>
      </c>
      <c r="D151" s="9"/>
      <c r="E151" s="9"/>
      <c r="F151" s="9">
        <v>668160.59</v>
      </c>
      <c r="G151" s="9"/>
    </row>
    <row r="152" spans="2:7" ht="12.75">
      <c r="B152" s="5"/>
      <c r="C152" s="2" t="s">
        <v>13</v>
      </c>
      <c r="D152" s="9"/>
      <c r="E152" s="9"/>
      <c r="F152" s="9">
        <f>F151-F150</f>
        <v>-10785.030000000028</v>
      </c>
      <c r="G152" s="9"/>
    </row>
    <row r="153" spans="2:7" ht="12.75">
      <c r="B153" s="5">
        <v>3</v>
      </c>
      <c r="C153" s="10" t="s">
        <v>14</v>
      </c>
      <c r="D153" s="1" t="s">
        <v>15</v>
      </c>
      <c r="E153" s="1"/>
      <c r="F153" s="1" t="s">
        <v>15</v>
      </c>
      <c r="G153" s="1"/>
    </row>
    <row r="154" spans="2:7" ht="12.75">
      <c r="B154" s="11" t="s">
        <v>16</v>
      </c>
      <c r="C154" s="11"/>
      <c r="D154" s="12">
        <v>92.14</v>
      </c>
      <c r="E154" s="13">
        <f>D154/2833.3/12*1000</f>
        <v>2.7100318827280314</v>
      </c>
      <c r="F154" s="13">
        <v>91.8</v>
      </c>
      <c r="G154" s="13">
        <f>F154/2833.3/12*1000</f>
        <v>2.700031765079589</v>
      </c>
    </row>
    <row r="155" spans="2:7" ht="12.75" customHeight="1">
      <c r="B155" s="14" t="s">
        <v>17</v>
      </c>
      <c r="C155" s="14"/>
      <c r="D155" s="1">
        <f>D156+D157+D158</f>
        <v>190.39999999999998</v>
      </c>
      <c r="E155" s="13">
        <f>D155/2833.3/12*1000</f>
        <v>5.600065883128036</v>
      </c>
      <c r="F155" s="1">
        <f>F156+F157+F158</f>
        <v>549.6700000000001</v>
      </c>
      <c r="G155" s="13">
        <f>F155/2833.3/12*1000</f>
        <v>16.16695490535183</v>
      </c>
    </row>
    <row r="156" spans="2:7" ht="12.75">
      <c r="B156" s="2"/>
      <c r="C156" s="15" t="s">
        <v>18</v>
      </c>
      <c r="D156" s="16">
        <v>148.1</v>
      </c>
      <c r="E156" s="13">
        <f>D156/2833.3/12*1000</f>
        <v>4.3559335992188135</v>
      </c>
      <c r="F156" s="16">
        <f>54.4+16.1+91</f>
        <v>161.5</v>
      </c>
      <c r="G156" s="13">
        <f>F156/2833.3/12*1000</f>
        <v>4.750055883010388</v>
      </c>
    </row>
    <row r="157" spans="2:7" ht="12.75">
      <c r="B157" s="2"/>
      <c r="C157" s="15" t="s">
        <v>19</v>
      </c>
      <c r="D157" s="17">
        <v>42.3</v>
      </c>
      <c r="E157" s="13">
        <f>D157/2833.3/12*1000</f>
        <v>1.2441322839092224</v>
      </c>
      <c r="F157" s="17">
        <v>388.17</v>
      </c>
      <c r="G157" s="13">
        <f>F157/2833.3/12*1000</f>
        <v>11.416899022341441</v>
      </c>
    </row>
    <row r="158" spans="2:7" ht="12.75">
      <c r="B158" s="32" t="s">
        <v>20</v>
      </c>
      <c r="C158" s="32"/>
      <c r="D158" s="18">
        <v>0</v>
      </c>
      <c r="E158" s="13">
        <f>D158/2833.3/12*1000</f>
        <v>0</v>
      </c>
      <c r="F158" s="18">
        <v>0</v>
      </c>
      <c r="G158" s="13">
        <f>F158/2833.3/12*1000</f>
        <v>0</v>
      </c>
    </row>
    <row r="159" spans="2:7" ht="12.75" customHeight="1">
      <c r="B159" s="19" t="s">
        <v>21</v>
      </c>
      <c r="C159" s="19"/>
      <c r="D159" s="13">
        <f>D160+D162+D161</f>
        <v>212.5</v>
      </c>
      <c r="E159" s="13">
        <f>E160+E162+E161</f>
        <v>6.250073530276826</v>
      </c>
      <c r="F159" s="13">
        <f>F160+F162+F161</f>
        <v>221.34</v>
      </c>
      <c r="G159" s="13">
        <f>F159/2833.3/12*1000</f>
        <v>6.510076589136343</v>
      </c>
    </row>
    <row r="160" spans="2:7" ht="12.75">
      <c r="B160" s="2"/>
      <c r="C160" s="15" t="s">
        <v>22</v>
      </c>
      <c r="D160" s="9">
        <v>178.16</v>
      </c>
      <c r="E160" s="13">
        <f>D160/2833.3/12*1000</f>
        <v>5.240061647784091</v>
      </c>
      <c r="F160" s="8">
        <f>127.05+38.75+5.56+17.1+2.3+3.27+6.6+8.2+2</f>
        <v>210.83</v>
      </c>
      <c r="G160" s="13">
        <f>F160/2833.3/12*1000</f>
        <v>6.200955305356533</v>
      </c>
    </row>
    <row r="161" spans="2:7" ht="12.75">
      <c r="B161" s="2"/>
      <c r="C161" s="15" t="s">
        <v>23</v>
      </c>
      <c r="D161" s="9">
        <v>31.62</v>
      </c>
      <c r="E161" s="13">
        <f>D161/2833.3/12*1000</f>
        <v>0.9300109413051919</v>
      </c>
      <c r="F161" s="9">
        <v>9.76</v>
      </c>
      <c r="G161" s="13">
        <f>F161/2833.3/12*1000</f>
        <v>0.2870622007317733</v>
      </c>
    </row>
    <row r="162" spans="2:7" ht="12.75">
      <c r="B162" s="2"/>
      <c r="C162" s="20" t="s">
        <v>24</v>
      </c>
      <c r="D162" s="9">
        <v>2.72</v>
      </c>
      <c r="E162" s="13">
        <f>D162/2833.3/12*1000</f>
        <v>0.08000094118754336</v>
      </c>
      <c r="F162" s="9">
        <v>0.75</v>
      </c>
      <c r="G162" s="13">
        <f>F162/2833.3/12*1000</f>
        <v>0.02205908304803586</v>
      </c>
    </row>
    <row r="163" spans="2:7" ht="12.75">
      <c r="B163" s="11" t="s">
        <v>25</v>
      </c>
      <c r="C163" s="11"/>
      <c r="D163" s="13">
        <v>19.89</v>
      </c>
      <c r="E163" s="13">
        <f>D163/2833.3/12*1000</f>
        <v>0.585006882433911</v>
      </c>
      <c r="F163" s="13">
        <v>20.09</v>
      </c>
      <c r="G163" s="13">
        <f>F163/2833.3/12*1000</f>
        <v>0.5908893045800538</v>
      </c>
    </row>
    <row r="164" spans="2:7" ht="12.75">
      <c r="B164" s="21" t="s">
        <v>26</v>
      </c>
      <c r="C164" s="21"/>
      <c r="D164" s="13">
        <v>105.01</v>
      </c>
      <c r="E164" s="13">
        <f>D164/2833.3/12*1000</f>
        <v>3.0885657478323276</v>
      </c>
      <c r="F164" s="1">
        <f>19+87.4</f>
        <v>106.4</v>
      </c>
      <c r="G164" s="13">
        <f>F164/2833.3/12*1000</f>
        <v>3.129448581748021</v>
      </c>
    </row>
    <row r="165" spans="2:7" ht="12.75">
      <c r="B165" s="2"/>
      <c r="C165" s="10" t="s">
        <v>28</v>
      </c>
      <c r="D165" s="12">
        <f>D154+D155+D159+D163+D164</f>
        <v>619.9399999999999</v>
      </c>
      <c r="E165" s="13">
        <f>E154+E155+E159+E163+E164</f>
        <v>18.233743926399132</v>
      </c>
      <c r="F165" s="12">
        <f>F154+F155+F159+F163+F164</f>
        <v>989.3000000000001</v>
      </c>
      <c r="G165" s="13">
        <f>G154+G155+G159+G163+G164</f>
        <v>29.097401145895837</v>
      </c>
    </row>
    <row r="166" spans="2:7" ht="12.75">
      <c r="B166" s="2">
        <v>4</v>
      </c>
      <c r="C166" s="10" t="s">
        <v>29</v>
      </c>
      <c r="D166" s="13">
        <v>62</v>
      </c>
      <c r="E166" s="13">
        <v>1.82</v>
      </c>
      <c r="F166" s="12"/>
      <c r="G166" s="12"/>
    </row>
    <row r="167" spans="2:7" ht="12.75">
      <c r="B167" s="5">
        <v>5</v>
      </c>
      <c r="C167" s="10" t="s">
        <v>13</v>
      </c>
      <c r="D167" s="13">
        <f>D165+D166</f>
        <v>681.9399999999999</v>
      </c>
      <c r="E167" s="13">
        <f>E165+E166</f>
        <v>20.053743926399132</v>
      </c>
      <c r="F167" s="13">
        <f>F165-F151/1000</f>
        <v>321.1394100000001</v>
      </c>
      <c r="G167" s="13"/>
    </row>
    <row r="168" spans="2:7" ht="12.75">
      <c r="B168" s="23"/>
      <c r="C168" s="23"/>
      <c r="D168" s="25"/>
      <c r="E168" s="25"/>
      <c r="F168" s="23"/>
      <c r="G168" s="23"/>
    </row>
    <row r="169" spans="2:7" ht="12.75">
      <c r="B169" s="11" t="s">
        <v>30</v>
      </c>
      <c r="C169" s="11"/>
      <c r="D169" s="33" t="s">
        <v>6</v>
      </c>
      <c r="E169" s="25"/>
      <c r="F169" s="25"/>
      <c r="G169" s="25"/>
    </row>
    <row r="170" spans="2:7" ht="12.75">
      <c r="B170" s="25"/>
      <c r="C170" s="34" t="s">
        <v>31</v>
      </c>
      <c r="D170" s="35">
        <v>23033.75</v>
      </c>
      <c r="E170" s="25"/>
      <c r="F170" s="25"/>
      <c r="G170" s="25"/>
    </row>
    <row r="171" spans="2:7" ht="12.75">
      <c r="B171" s="5"/>
      <c r="C171" s="23" t="s">
        <v>32</v>
      </c>
      <c r="D171" s="35">
        <v>21210.55</v>
      </c>
      <c r="E171" s="25"/>
      <c r="F171" s="25"/>
      <c r="G171" s="25"/>
    </row>
    <row r="172" spans="2:7" ht="12.75">
      <c r="B172" s="5"/>
      <c r="C172" s="36" t="s">
        <v>13</v>
      </c>
      <c r="D172" s="33">
        <f>D171-D170</f>
        <v>-1823.2000000000007</v>
      </c>
      <c r="E172" s="25"/>
      <c r="F172" s="25"/>
      <c r="G172" s="25"/>
    </row>
    <row r="173" spans="2:7" ht="12.75">
      <c r="B173" s="5"/>
      <c r="C173" s="34" t="s">
        <v>33</v>
      </c>
      <c r="D173" s="35">
        <v>25555.93</v>
      </c>
      <c r="E173" s="25"/>
      <c r="F173" s="25"/>
      <c r="G173" s="25"/>
    </row>
    <row r="174" spans="2:7" ht="12.75">
      <c r="B174" s="5"/>
      <c r="C174" s="23" t="s">
        <v>34</v>
      </c>
      <c r="D174" s="35">
        <v>23118.97</v>
      </c>
      <c r="E174" s="25"/>
      <c r="F174" s="25"/>
      <c r="G174" s="25"/>
    </row>
    <row r="175" spans="2:7" ht="12.75">
      <c r="B175" s="5"/>
      <c r="C175" s="36" t="s">
        <v>13</v>
      </c>
      <c r="D175" s="33">
        <f>D174-D173</f>
        <v>-2436.959999999999</v>
      </c>
      <c r="E175" s="25"/>
      <c r="F175" s="25"/>
      <c r="G175" s="25"/>
    </row>
    <row r="176" spans="2:7" ht="12.75">
      <c r="B176" s="5"/>
      <c r="C176" s="34" t="s">
        <v>42</v>
      </c>
      <c r="D176" s="35">
        <v>27710.08</v>
      </c>
      <c r="E176" s="25"/>
      <c r="F176" s="25"/>
      <c r="G176" s="25"/>
    </row>
    <row r="177" spans="2:7" ht="12.75">
      <c r="B177" s="5"/>
      <c r="C177" s="23" t="s">
        <v>43</v>
      </c>
      <c r="D177" s="35">
        <v>21561.81</v>
      </c>
      <c r="E177" s="25"/>
      <c r="F177" s="25"/>
      <c r="G177" s="25"/>
    </row>
    <row r="178" spans="2:7" ht="12.75">
      <c r="B178" s="5"/>
      <c r="C178" s="36" t="s">
        <v>13</v>
      </c>
      <c r="D178" s="33">
        <f>D177-D176</f>
        <v>-6148.27</v>
      </c>
      <c r="E178" s="25"/>
      <c r="F178" s="25"/>
      <c r="G178" s="25"/>
    </row>
    <row r="179" spans="2:7" ht="12.75">
      <c r="B179" s="11"/>
      <c r="C179" s="11" t="s">
        <v>35</v>
      </c>
      <c r="D179" s="27">
        <f>D172+D175+D178</f>
        <v>-10408.43</v>
      </c>
      <c r="E179" s="25"/>
      <c r="F179" s="25"/>
      <c r="G179" s="25"/>
    </row>
    <row r="180" spans="2:7" ht="12.75">
      <c r="B180" s="11"/>
      <c r="C180" s="11"/>
      <c r="D180" s="27"/>
      <c r="E180" s="25"/>
      <c r="F180" s="25"/>
      <c r="G180" s="25"/>
    </row>
    <row r="181" spans="2:7" ht="12.75">
      <c r="B181" s="11"/>
      <c r="C181" s="14" t="s">
        <v>58</v>
      </c>
      <c r="D181" s="27" t="s">
        <v>37</v>
      </c>
      <c r="E181" s="25"/>
      <c r="F181" s="24">
        <v>331.6</v>
      </c>
      <c r="G181" s="25"/>
    </row>
    <row r="182" spans="2:7" ht="12.75">
      <c r="B182" s="11"/>
      <c r="C182" s="14" t="s">
        <v>38</v>
      </c>
      <c r="D182" s="27"/>
      <c r="E182" s="25"/>
      <c r="F182" s="24">
        <v>664.9</v>
      </c>
      <c r="G182" s="25"/>
    </row>
    <row r="183" spans="2:7" ht="12.75">
      <c r="B183" s="23" t="s">
        <v>59</v>
      </c>
      <c r="C183" s="23"/>
      <c r="D183" s="23"/>
      <c r="E183" s="23"/>
      <c r="F183" s="23"/>
      <c r="G183" s="23"/>
    </row>
    <row r="184" spans="2:4" ht="12.75">
      <c r="B184" s="29"/>
      <c r="C184" s="39"/>
      <c r="D184" s="29"/>
    </row>
    <row r="185" spans="2:4" ht="12.75">
      <c r="B185" s="40"/>
      <c r="C185" s="40"/>
      <c r="D185" s="30"/>
    </row>
    <row r="186" spans="2:7" ht="12.75">
      <c r="B186" s="1" t="s">
        <v>0</v>
      </c>
      <c r="C186" s="1"/>
      <c r="D186" s="1"/>
      <c r="E186" s="1"/>
      <c r="F186" s="1"/>
      <c r="G186" s="1"/>
    </row>
    <row r="187" spans="2:7" ht="12.75">
      <c r="B187" s="1" t="s">
        <v>51</v>
      </c>
      <c r="C187" s="1"/>
      <c r="D187" s="1"/>
      <c r="E187" s="1"/>
      <c r="F187" s="1"/>
      <c r="G187" s="1"/>
    </row>
    <row r="188" spans="2:7" ht="12.75">
      <c r="B188" s="1" t="s">
        <v>60</v>
      </c>
      <c r="C188" s="1"/>
      <c r="D188" s="1"/>
      <c r="E188" s="1"/>
      <c r="F188" s="1"/>
      <c r="G188" s="1"/>
    </row>
    <row r="189" spans="2:7" ht="12.75" customHeight="1">
      <c r="B189" s="2"/>
      <c r="C189" s="2" t="s">
        <v>3</v>
      </c>
      <c r="D189" s="3" t="s">
        <v>41</v>
      </c>
      <c r="E189" s="3"/>
      <c r="F189" s="4" t="s">
        <v>5</v>
      </c>
      <c r="G189" s="4"/>
    </row>
    <row r="190" spans="2:7" ht="12.75">
      <c r="B190" s="2"/>
      <c r="C190" s="2"/>
      <c r="D190" s="3" t="s">
        <v>6</v>
      </c>
      <c r="E190" s="3" t="s">
        <v>7</v>
      </c>
      <c r="F190" s="3" t="s">
        <v>6</v>
      </c>
      <c r="G190" s="3" t="s">
        <v>8</v>
      </c>
    </row>
    <row r="191" spans="2:7" ht="12.75">
      <c r="B191" s="5">
        <v>1</v>
      </c>
      <c r="C191" s="6" t="s">
        <v>9</v>
      </c>
      <c r="D191" s="1">
        <v>3594.8</v>
      </c>
      <c r="E191" s="1"/>
      <c r="F191" s="1">
        <v>3594.8</v>
      </c>
      <c r="G191" s="1"/>
    </row>
    <row r="192" spans="2:7" ht="12.75">
      <c r="B192" s="5">
        <v>2</v>
      </c>
      <c r="C192" s="7" t="s">
        <v>55</v>
      </c>
      <c r="D192" s="8"/>
      <c r="E192" s="8"/>
      <c r="F192" s="8" t="s">
        <v>3</v>
      </c>
      <c r="G192" s="8"/>
    </row>
    <row r="193" spans="2:7" ht="12.75">
      <c r="B193" s="5"/>
      <c r="C193" s="6" t="s">
        <v>56</v>
      </c>
      <c r="D193" s="9"/>
      <c r="E193" s="9"/>
      <c r="F193" s="9">
        <v>825942.96</v>
      </c>
      <c r="G193" s="9"/>
    </row>
    <row r="194" spans="2:7" ht="12.75">
      <c r="B194" s="5"/>
      <c r="C194" s="2" t="s">
        <v>57</v>
      </c>
      <c r="D194" s="9"/>
      <c r="E194" s="9"/>
      <c r="F194" s="9">
        <v>832331.09</v>
      </c>
      <c r="G194" s="9"/>
    </row>
    <row r="195" spans="2:7" ht="12.75">
      <c r="B195" s="5"/>
      <c r="C195" s="2" t="s">
        <v>13</v>
      </c>
      <c r="D195" s="9"/>
      <c r="E195" s="9"/>
      <c r="F195" s="9">
        <f>F194-F193</f>
        <v>6388.130000000005</v>
      </c>
      <c r="G195" s="9"/>
    </row>
    <row r="196" spans="2:7" ht="12.75">
      <c r="B196" s="5">
        <v>3</v>
      </c>
      <c r="C196" s="10" t="s">
        <v>14</v>
      </c>
      <c r="D196" s="1" t="s">
        <v>15</v>
      </c>
      <c r="E196" s="1"/>
      <c r="F196" s="1" t="s">
        <v>15</v>
      </c>
      <c r="G196" s="1"/>
    </row>
    <row r="197" spans="2:7" ht="12.75">
      <c r="B197" s="11" t="s">
        <v>16</v>
      </c>
      <c r="C197" s="11"/>
      <c r="D197" s="13">
        <v>116.9</v>
      </c>
      <c r="E197" s="13">
        <f>D197/3594.8/12*1000</f>
        <v>2.7099328659916173</v>
      </c>
      <c r="F197" s="13">
        <v>111.5</v>
      </c>
      <c r="G197" s="13">
        <f>F197/3594.8/12*1000</f>
        <v>2.584752049256333</v>
      </c>
    </row>
    <row r="198" spans="2:7" ht="12.75" customHeight="1">
      <c r="B198" s="14" t="s">
        <v>17</v>
      </c>
      <c r="C198" s="14"/>
      <c r="D198" s="1">
        <f>D199+D200+D201</f>
        <v>241.60000000000002</v>
      </c>
      <c r="E198" s="13">
        <f>D198/3594.8/12*1000</f>
        <v>5.600682467267536</v>
      </c>
      <c r="F198" s="1">
        <f>F199+F200+F201</f>
        <v>435.4</v>
      </c>
      <c r="G198" s="13">
        <f>F198/3594.8/12*1000</f>
        <v>10.093282890100514</v>
      </c>
    </row>
    <row r="199" spans="2:7" ht="12.75">
      <c r="B199" s="2"/>
      <c r="C199" s="15" t="s">
        <v>18</v>
      </c>
      <c r="D199" s="16">
        <v>187.4</v>
      </c>
      <c r="E199" s="13">
        <f>D199/3594.8/12*1000</f>
        <v>4.34423797336894</v>
      </c>
      <c r="F199" s="16">
        <f>69+3.3+115.5</f>
        <v>187.8</v>
      </c>
      <c r="G199" s="13">
        <f>F199/3594.8/12*1000</f>
        <v>4.3535106264604435</v>
      </c>
    </row>
    <row r="200" spans="2:7" ht="12.75">
      <c r="B200" s="2"/>
      <c r="C200" s="15" t="s">
        <v>19</v>
      </c>
      <c r="D200" s="17">
        <v>54.2</v>
      </c>
      <c r="E200" s="13">
        <f>D200/3594.8/12*1000</f>
        <v>1.2564444938985944</v>
      </c>
      <c r="F200" s="17">
        <v>247.6</v>
      </c>
      <c r="G200" s="13">
        <f>F200/3594.8/12*1000</f>
        <v>5.739772263640072</v>
      </c>
    </row>
    <row r="201" spans="2:7" ht="12.75">
      <c r="B201" s="32" t="s">
        <v>20</v>
      </c>
      <c r="C201" s="32"/>
      <c r="D201" s="18">
        <v>0</v>
      </c>
      <c r="E201" s="13">
        <f>D201/3594.8/12*1000</f>
        <v>0</v>
      </c>
      <c r="F201" s="18">
        <v>0</v>
      </c>
      <c r="G201" s="13">
        <f>F201/3594.8/12*1000</f>
        <v>0</v>
      </c>
    </row>
    <row r="202" spans="2:7" ht="12.75" customHeight="1">
      <c r="B202" s="19" t="s">
        <v>21</v>
      </c>
      <c r="C202" s="19"/>
      <c r="D202" s="13">
        <f>D203+D205+D204</f>
        <v>269.65999999999997</v>
      </c>
      <c r="E202" s="13">
        <f>D202/3594.8/12*1000</f>
        <v>6.251159081636437</v>
      </c>
      <c r="F202" s="13">
        <f>F203+F205+F204</f>
        <v>265.03999999999996</v>
      </c>
      <c r="G202" s="13">
        <f>F202/3594.8/12*1000</f>
        <v>6.1440599384295815</v>
      </c>
    </row>
    <row r="203" spans="2:7" ht="12.75">
      <c r="B203" s="2"/>
      <c r="C203" s="15" t="s">
        <v>22</v>
      </c>
      <c r="D203" s="9">
        <v>226.04</v>
      </c>
      <c r="E203" s="13">
        <f>D203/3594.8/12*1000</f>
        <v>5.239976262008086</v>
      </c>
      <c r="F203" s="8">
        <f>161.2+49.16+7.05+21.7+2.9+6.2+5.46+0.37+2.5</f>
        <v>256.53999999999996</v>
      </c>
      <c r="G203" s="13">
        <f>F203/3594.8/12*1000</f>
        <v>5.947016060235153</v>
      </c>
    </row>
    <row r="204" spans="2:7" ht="12.75">
      <c r="B204" s="2"/>
      <c r="C204" s="15" t="s">
        <v>23</v>
      </c>
      <c r="D204" s="9">
        <v>40.18</v>
      </c>
      <c r="E204" s="13">
        <f>D204/3594.8/12*1000</f>
        <v>0.9314380030414301</v>
      </c>
      <c r="F204" s="9">
        <v>7.6</v>
      </c>
      <c r="G204" s="13">
        <f>F204/3594.8/12*1000</f>
        <v>0.17618040873854826</v>
      </c>
    </row>
    <row r="205" spans="2:7" ht="12.75">
      <c r="B205" s="2"/>
      <c r="C205" s="20" t="s">
        <v>24</v>
      </c>
      <c r="D205" s="9">
        <v>3.44</v>
      </c>
      <c r="E205" s="13">
        <f>D205/3594.8/12*1000</f>
        <v>0.07974481658692185</v>
      </c>
      <c r="F205" s="9">
        <v>0.9</v>
      </c>
      <c r="G205" s="13">
        <f>F205/3594.8/12*1000</f>
        <v>0.020863469455880714</v>
      </c>
    </row>
    <row r="206" spans="2:7" ht="12.75">
      <c r="B206" s="11" t="s">
        <v>25</v>
      </c>
      <c r="C206" s="11"/>
      <c r="D206" s="13">
        <v>25.45</v>
      </c>
      <c r="E206" s="13">
        <f>D206/3594.8/12*1000</f>
        <v>0.5899725529468491</v>
      </c>
      <c r="F206" s="13">
        <v>25</v>
      </c>
      <c r="G206" s="13">
        <f>F206/3594.8/12*1000</f>
        <v>0.5795408182189088</v>
      </c>
    </row>
    <row r="207" spans="2:7" ht="12.75">
      <c r="B207" s="21" t="s">
        <v>26</v>
      </c>
      <c r="C207" s="21"/>
      <c r="D207" s="13">
        <v>133.3</v>
      </c>
      <c r="E207" s="13">
        <f>D207/3594.8/12*1000</f>
        <v>3.0901116427432216</v>
      </c>
      <c r="F207" s="1">
        <f>24.2+110.86</f>
        <v>135.06</v>
      </c>
      <c r="G207" s="13">
        <f>F207/3594.8/12*1000</f>
        <v>3.130911316345833</v>
      </c>
    </row>
    <row r="208" spans="2:7" ht="12.75">
      <c r="B208" s="2"/>
      <c r="C208" s="10" t="s">
        <v>28</v>
      </c>
      <c r="D208" s="12">
        <f>D197+D198+D202+D206+D207</f>
        <v>786.9100000000001</v>
      </c>
      <c r="E208" s="12">
        <f>E197+E198+E202+E206+E207</f>
        <v>18.241858610585663</v>
      </c>
      <c r="F208" s="12">
        <f>F197+F198+F202+F206+F207</f>
        <v>972</v>
      </c>
      <c r="G208" s="13">
        <f>G197+G198+G202+G206+G207</f>
        <v>22.532547012351174</v>
      </c>
    </row>
    <row r="209" spans="2:7" ht="12.75">
      <c r="B209" s="2">
        <v>4</v>
      </c>
      <c r="C209" s="10" t="s">
        <v>29</v>
      </c>
      <c r="D209" s="13">
        <v>78.7</v>
      </c>
      <c r="E209" s="12">
        <v>1.81</v>
      </c>
      <c r="F209" s="12"/>
      <c r="G209" s="12"/>
    </row>
    <row r="210" spans="2:7" ht="12.75">
      <c r="B210" s="5">
        <v>5</v>
      </c>
      <c r="C210" s="10" t="s">
        <v>13</v>
      </c>
      <c r="D210" s="13">
        <f>D208+D209</f>
        <v>865.6100000000001</v>
      </c>
      <c r="E210" s="13">
        <f>E208+E209</f>
        <v>20.05185861058566</v>
      </c>
      <c r="F210" s="13">
        <f>F208-F194/1000</f>
        <v>139.66890999999998</v>
      </c>
      <c r="G210" s="13"/>
    </row>
    <row r="211" spans="2:7" ht="12.75">
      <c r="B211" s="23"/>
      <c r="C211" s="23"/>
      <c r="D211" s="25"/>
      <c r="E211" s="25"/>
      <c r="F211" s="23"/>
      <c r="G211" s="23"/>
    </row>
    <row r="212" spans="2:7" ht="12.75">
      <c r="B212" s="11" t="s">
        <v>30</v>
      </c>
      <c r="C212" s="11"/>
      <c r="D212" s="33" t="s">
        <v>6</v>
      </c>
      <c r="E212" s="25"/>
      <c r="F212" s="25"/>
      <c r="G212" s="25"/>
    </row>
    <row r="213" spans="2:7" ht="12.75">
      <c r="B213" s="25"/>
      <c r="C213" s="34" t="s">
        <v>31</v>
      </c>
      <c r="D213" s="35">
        <v>22180.25</v>
      </c>
      <c r="E213" s="25"/>
      <c r="F213" s="25"/>
      <c r="G213" s="25"/>
    </row>
    <row r="214" spans="2:7" ht="12.75">
      <c r="B214" s="5"/>
      <c r="C214" s="23" t="s">
        <v>32</v>
      </c>
      <c r="D214" s="35">
        <v>23716.11</v>
      </c>
      <c r="E214" s="25"/>
      <c r="F214" s="25"/>
      <c r="G214" s="25"/>
    </row>
    <row r="215" spans="2:7" ht="12.75">
      <c r="B215" s="5"/>
      <c r="C215" s="36" t="s">
        <v>13</v>
      </c>
      <c r="D215" s="33">
        <f>D214-D213</f>
        <v>1535.8600000000006</v>
      </c>
      <c r="E215" s="25"/>
      <c r="F215" s="25"/>
      <c r="G215" s="25"/>
    </row>
    <row r="216" spans="2:7" ht="12.75">
      <c r="B216" s="5"/>
      <c r="C216" s="34" t="s">
        <v>33</v>
      </c>
      <c r="D216" s="35">
        <v>24552.77</v>
      </c>
      <c r="E216" s="25"/>
      <c r="F216" s="25"/>
      <c r="G216" s="25"/>
    </row>
    <row r="217" spans="2:7" ht="12.75">
      <c r="B217" s="5"/>
      <c r="C217" s="23" t="s">
        <v>34</v>
      </c>
      <c r="D217" s="35">
        <v>26528.64</v>
      </c>
      <c r="E217" s="25"/>
      <c r="F217" s="25"/>
      <c r="G217" s="25"/>
    </row>
    <row r="218" spans="2:7" ht="12.75">
      <c r="B218" s="5"/>
      <c r="C218" s="36" t="s">
        <v>13</v>
      </c>
      <c r="D218" s="33">
        <f>D217-D216</f>
        <v>1975.869999999999</v>
      </c>
      <c r="E218" s="25"/>
      <c r="F218" s="25"/>
      <c r="G218" s="25"/>
    </row>
    <row r="219" spans="2:7" ht="12.75">
      <c r="B219" s="5"/>
      <c r="C219" s="34" t="s">
        <v>42</v>
      </c>
      <c r="D219" s="35">
        <v>17542.92</v>
      </c>
      <c r="E219" s="25"/>
      <c r="F219" s="25"/>
      <c r="G219" s="25"/>
    </row>
    <row r="220" spans="2:7" ht="12.75">
      <c r="B220" s="5"/>
      <c r="C220" s="23" t="s">
        <v>43</v>
      </c>
      <c r="D220" s="35">
        <v>15980.4</v>
      </c>
      <c r="E220" s="25"/>
      <c r="F220" s="25"/>
      <c r="G220" s="25"/>
    </row>
    <row r="221" spans="2:7" ht="12.75">
      <c r="B221" s="5"/>
      <c r="C221" s="36" t="s">
        <v>13</v>
      </c>
      <c r="D221" s="33">
        <f>D220-D219</f>
        <v>-1562.5199999999986</v>
      </c>
      <c r="E221" s="25"/>
      <c r="F221" s="25"/>
      <c r="G221" s="25"/>
    </row>
    <row r="222" spans="2:7" ht="12.75">
      <c r="B222" s="11"/>
      <c r="C222" s="11" t="s">
        <v>35</v>
      </c>
      <c r="D222" s="27">
        <f>D215+D218+D221</f>
        <v>1949.210000000001</v>
      </c>
      <c r="E222" s="25"/>
      <c r="F222" s="25"/>
      <c r="G222" s="25"/>
    </row>
    <row r="223" spans="2:7" ht="12.75">
      <c r="B223" s="11"/>
      <c r="C223" s="11"/>
      <c r="D223" s="27"/>
      <c r="E223" s="25"/>
      <c r="F223" s="25"/>
      <c r="G223" s="25"/>
    </row>
    <row r="224" spans="2:7" ht="12.75">
      <c r="B224" s="11"/>
      <c r="C224" s="11"/>
      <c r="D224" s="27"/>
      <c r="E224" s="25"/>
      <c r="F224" s="25"/>
      <c r="G224" s="25"/>
    </row>
    <row r="225" spans="2:7" ht="12.75">
      <c r="B225" s="11"/>
      <c r="C225" s="14" t="s">
        <v>58</v>
      </c>
      <c r="D225" s="27" t="s">
        <v>37</v>
      </c>
      <c r="E225" s="25"/>
      <c r="F225" s="24">
        <v>137.7</v>
      </c>
      <c r="G225" s="25"/>
    </row>
    <row r="226" spans="2:7" ht="12.75">
      <c r="B226" s="11"/>
      <c r="C226" s="14" t="s">
        <v>38</v>
      </c>
      <c r="D226" s="27"/>
      <c r="E226" s="25"/>
      <c r="F226" s="24">
        <v>5.3</v>
      </c>
      <c r="G226" s="25"/>
    </row>
    <row r="227" spans="2:7" ht="12.75">
      <c r="B227" s="23" t="s">
        <v>39</v>
      </c>
      <c r="C227" s="23"/>
      <c r="D227" s="23"/>
      <c r="E227" s="23"/>
      <c r="F227" s="23"/>
      <c r="G227" s="23"/>
    </row>
    <row r="228" spans="2:4" ht="12.75">
      <c r="B228" s="29"/>
      <c r="C228" s="29"/>
      <c r="D228" s="30"/>
    </row>
    <row r="229" spans="2:4" ht="12.75">
      <c r="B229" s="30"/>
      <c r="C229" s="41"/>
      <c r="D229" s="29"/>
    </row>
    <row r="230" spans="2:7" ht="12.75">
      <c r="B230" s="1" t="s">
        <v>0</v>
      </c>
      <c r="C230" s="1"/>
      <c r="D230" s="1"/>
      <c r="E230" s="1"/>
      <c r="F230" s="1"/>
      <c r="G230" s="1"/>
    </row>
    <row r="231" spans="2:7" ht="12.75">
      <c r="B231" s="1" t="s">
        <v>51</v>
      </c>
      <c r="C231" s="1"/>
      <c r="D231" s="1"/>
      <c r="E231" s="1"/>
      <c r="F231" s="1"/>
      <c r="G231" s="1"/>
    </row>
    <row r="232" spans="2:7" ht="12.75">
      <c r="B232" s="1" t="s">
        <v>61</v>
      </c>
      <c r="C232" s="1"/>
      <c r="D232" s="1"/>
      <c r="E232" s="1"/>
      <c r="F232" s="1"/>
      <c r="G232" s="1"/>
    </row>
    <row r="233" spans="2:7" ht="12.75" customHeight="1">
      <c r="B233" s="2"/>
      <c r="C233" s="2" t="s">
        <v>3</v>
      </c>
      <c r="D233" s="3" t="s">
        <v>41</v>
      </c>
      <c r="E233" s="3"/>
      <c r="F233" s="4" t="s">
        <v>5</v>
      </c>
      <c r="G233" s="4"/>
    </row>
    <row r="234" spans="2:7" ht="12.75">
      <c r="B234" s="2"/>
      <c r="C234" s="2"/>
      <c r="D234" s="3" t="s">
        <v>6</v>
      </c>
      <c r="E234" s="3" t="s">
        <v>7</v>
      </c>
      <c r="F234" s="3" t="s">
        <v>6</v>
      </c>
      <c r="G234" s="3" t="s">
        <v>8</v>
      </c>
    </row>
    <row r="235" spans="2:7" ht="12.75">
      <c r="B235" s="5">
        <v>1</v>
      </c>
      <c r="C235" s="6" t="s">
        <v>9</v>
      </c>
      <c r="D235" s="1">
        <v>3608.9</v>
      </c>
      <c r="E235" s="1"/>
      <c r="F235" s="1">
        <v>3608.9</v>
      </c>
      <c r="G235" s="1"/>
    </row>
    <row r="236" spans="2:7" ht="12.75">
      <c r="B236" s="5">
        <v>2</v>
      </c>
      <c r="C236" s="7" t="s">
        <v>62</v>
      </c>
      <c r="D236" s="8"/>
      <c r="E236" s="8"/>
      <c r="F236" s="8" t="s">
        <v>3</v>
      </c>
      <c r="G236" s="8"/>
    </row>
    <row r="237" spans="2:7" ht="12.75">
      <c r="B237" s="5"/>
      <c r="C237" s="6" t="s">
        <v>56</v>
      </c>
      <c r="D237" s="9"/>
      <c r="E237" s="9"/>
      <c r="F237" s="9">
        <v>867893.04</v>
      </c>
      <c r="G237" s="9"/>
    </row>
    <row r="238" spans="2:7" ht="12.75">
      <c r="B238" s="5"/>
      <c r="C238" s="2" t="s">
        <v>57</v>
      </c>
      <c r="D238" s="9"/>
      <c r="E238" s="9"/>
      <c r="F238" s="9">
        <v>865154.99</v>
      </c>
      <c r="G238" s="9"/>
    </row>
    <row r="239" spans="2:7" ht="12.75">
      <c r="B239" s="5"/>
      <c r="C239" s="2" t="s">
        <v>13</v>
      </c>
      <c r="D239" s="9"/>
      <c r="E239" s="9"/>
      <c r="F239" s="9">
        <f>F238-F237</f>
        <v>-2738.0500000000466</v>
      </c>
      <c r="G239" s="9"/>
    </row>
    <row r="240" spans="2:7" ht="12.75">
      <c r="B240" s="5">
        <v>3</v>
      </c>
      <c r="C240" s="10" t="s">
        <v>14</v>
      </c>
      <c r="D240" s="1" t="s">
        <v>15</v>
      </c>
      <c r="E240" s="1"/>
      <c r="F240" s="1" t="s">
        <v>15</v>
      </c>
      <c r="G240" s="1"/>
    </row>
    <row r="241" spans="2:7" ht="12.75">
      <c r="B241" s="11" t="s">
        <v>16</v>
      </c>
      <c r="C241" s="11"/>
      <c r="D241" s="13">
        <v>117.36</v>
      </c>
      <c r="E241" s="13">
        <f>D241/3608.9/12*1000</f>
        <v>2.70996702596359</v>
      </c>
      <c r="F241" s="13">
        <v>117.2</v>
      </c>
      <c r="G241" s="13">
        <f>F241/3608.9/12*1000</f>
        <v>2.7062724560577096</v>
      </c>
    </row>
    <row r="242" spans="2:7" ht="12.75" customHeight="1">
      <c r="B242" s="14" t="s">
        <v>17</v>
      </c>
      <c r="C242" s="14"/>
      <c r="D242" s="1">
        <f>D243+D244+D245</f>
        <v>242.9</v>
      </c>
      <c r="E242" s="13">
        <f>D242/3608.9/12*1000</f>
        <v>5.608818938365338</v>
      </c>
      <c r="F242" s="1">
        <f>F243+F244+F245</f>
        <v>274.57</v>
      </c>
      <c r="G242" s="1">
        <f>G243+G244+G245</f>
        <v>6.340112869110624</v>
      </c>
    </row>
    <row r="243" spans="2:7" ht="12.75">
      <c r="B243" s="2"/>
      <c r="C243" s="15" t="s">
        <v>18</v>
      </c>
      <c r="D243" s="16">
        <v>188.4</v>
      </c>
      <c r="E243" s="13">
        <f>D243/3608.9/12*1000</f>
        <v>4.3503560641746795</v>
      </c>
      <c r="F243" s="16">
        <f>69.3+3.3+115.9</f>
        <v>188.5</v>
      </c>
      <c r="G243" s="9">
        <f>F243/3608.9/12*1000</f>
        <v>4.352665170365855</v>
      </c>
    </row>
    <row r="244" spans="2:7" ht="12.75">
      <c r="B244" s="2"/>
      <c r="C244" s="15" t="s">
        <v>19</v>
      </c>
      <c r="D244" s="17">
        <v>54.5</v>
      </c>
      <c r="E244" s="13">
        <f>D244/3608.9/12*1000</f>
        <v>1.258462874190658</v>
      </c>
      <c r="F244" s="17">
        <v>79.07</v>
      </c>
      <c r="G244" s="9">
        <f>F244/3608.9/12*1000</f>
        <v>1.8258102653624833</v>
      </c>
    </row>
    <row r="245" spans="2:7" ht="12.75">
      <c r="B245" s="32" t="s">
        <v>20</v>
      </c>
      <c r="C245" s="32"/>
      <c r="D245" s="18">
        <v>0</v>
      </c>
      <c r="E245" s="13">
        <f>D245/3608.9/12*1000</f>
        <v>0</v>
      </c>
      <c r="F245" s="18">
        <v>7</v>
      </c>
      <c r="G245" s="9">
        <f>F245/3608.9/12*1000</f>
        <v>0.16163743338228637</v>
      </c>
    </row>
    <row r="246" spans="2:7" ht="12.75" customHeight="1">
      <c r="B246" s="19" t="s">
        <v>21</v>
      </c>
      <c r="C246" s="19"/>
      <c r="D246" s="13">
        <f>D247+D249+D248</f>
        <v>270.64</v>
      </c>
      <c r="E246" s="13">
        <f>E247+E249+E248</f>
        <v>6.249364995797427</v>
      </c>
      <c r="F246" s="13">
        <f>F247+F249+F248</f>
        <v>269.76000000000005</v>
      </c>
      <c r="G246" s="13">
        <f>G247+G249+G248</f>
        <v>6.229044861315084</v>
      </c>
    </row>
    <row r="247" spans="2:7" ht="12.75">
      <c r="B247" s="2"/>
      <c r="C247" s="15" t="s">
        <v>22</v>
      </c>
      <c r="D247" s="9">
        <v>226.9</v>
      </c>
      <c r="E247" s="13">
        <f>D247/3608.9/12*1000</f>
        <v>5.239361947777254</v>
      </c>
      <c r="F247" s="8">
        <f>161.8+49.4+7.08+21.8+2.9+2.8+1.34+6.07+5.17+0.37+2.5</f>
        <v>261.2300000000001</v>
      </c>
      <c r="G247" s="9">
        <f>F247/3608.9/12*1000</f>
        <v>6.032078103207812</v>
      </c>
    </row>
    <row r="248" spans="2:7" ht="12.75">
      <c r="B248" s="2"/>
      <c r="C248" s="15" t="s">
        <v>23</v>
      </c>
      <c r="D248" s="9">
        <v>40.28</v>
      </c>
      <c r="E248" s="13">
        <f>D248/3608.9/12*1000</f>
        <v>0.9301079738054994</v>
      </c>
      <c r="F248" s="9">
        <v>7.38</v>
      </c>
      <c r="G248" s="9">
        <f>F248/3608.9/12*1000</f>
        <v>0.17041203690875337</v>
      </c>
    </row>
    <row r="249" spans="2:7" ht="12.75">
      <c r="B249" s="2"/>
      <c r="C249" s="20" t="s">
        <v>24</v>
      </c>
      <c r="D249" s="9">
        <v>3.46</v>
      </c>
      <c r="E249" s="13">
        <f>D249/3608.9/12*1000</f>
        <v>0.07989507421467298</v>
      </c>
      <c r="F249" s="9">
        <v>1.15</v>
      </c>
      <c r="G249" s="9">
        <f>F249/3608.9/12*1000</f>
        <v>0.026554721198518472</v>
      </c>
    </row>
    <row r="250" spans="2:7" ht="12.75">
      <c r="B250" s="11" t="s">
        <v>25</v>
      </c>
      <c r="C250" s="11"/>
      <c r="D250" s="13">
        <v>25.55</v>
      </c>
      <c r="E250" s="13">
        <f>D250/3608.9/12*1000</f>
        <v>0.5899766318453453</v>
      </c>
      <c r="F250" s="13">
        <v>25.9</v>
      </c>
      <c r="G250" s="9">
        <f>F250/3608.9/12*1000</f>
        <v>0.5980585035144595</v>
      </c>
    </row>
    <row r="251" spans="2:7" ht="12.75">
      <c r="B251" s="21" t="s">
        <v>26</v>
      </c>
      <c r="C251" s="21"/>
      <c r="D251" s="13">
        <v>133.82</v>
      </c>
      <c r="E251" s="13">
        <f>D251/3608.9/12*1000</f>
        <v>3.0900459050310807</v>
      </c>
      <c r="F251" s="1">
        <f>24.25+111.3</f>
        <v>135.55</v>
      </c>
      <c r="G251" s="9">
        <f>F251/3608.9/12*1000</f>
        <v>3.1299934421384172</v>
      </c>
    </row>
    <row r="252" spans="2:7" ht="12.75">
      <c r="B252" s="2"/>
      <c r="C252" s="10" t="s">
        <v>28</v>
      </c>
      <c r="D252" s="12">
        <f>D241+D242+D246+D250+D251</f>
        <v>790.27</v>
      </c>
      <c r="E252" s="12">
        <f>E241+E242+E246+E250+E251</f>
        <v>18.24817349700278</v>
      </c>
      <c r="F252" s="12">
        <f>F241+F242+F246+F250+F251</f>
        <v>822.98</v>
      </c>
      <c r="G252" s="13">
        <f>G241+G242+G246+G250+G251</f>
        <v>19.0034821321363</v>
      </c>
    </row>
    <row r="253" spans="2:7" ht="12.75">
      <c r="B253" s="2">
        <v>4</v>
      </c>
      <c r="C253" s="10" t="s">
        <v>29</v>
      </c>
      <c r="D253" s="13">
        <v>79</v>
      </c>
      <c r="E253" s="12">
        <v>1.8</v>
      </c>
      <c r="F253" s="12"/>
      <c r="G253" s="12"/>
    </row>
    <row r="254" spans="2:7" ht="12.75">
      <c r="B254" s="5">
        <v>5</v>
      </c>
      <c r="C254" s="10" t="s">
        <v>13</v>
      </c>
      <c r="D254" s="13">
        <f>D252+D253</f>
        <v>869.27</v>
      </c>
      <c r="E254" s="13">
        <f>E252+E253</f>
        <v>20.048173497002782</v>
      </c>
      <c r="F254" s="13">
        <f>F252-F238/1000</f>
        <v>-42.17498999999998</v>
      </c>
      <c r="G254" s="13"/>
    </row>
    <row r="255" spans="2:7" ht="12.75">
      <c r="B255" s="23"/>
      <c r="C255" s="23"/>
      <c r="D255" s="25"/>
      <c r="E255" s="25"/>
      <c r="F255" s="23"/>
      <c r="G255" s="23"/>
    </row>
    <row r="256" spans="2:7" ht="12.75">
      <c r="B256" s="11" t="s">
        <v>30</v>
      </c>
      <c r="C256" s="11"/>
      <c r="D256" s="33" t="s">
        <v>6</v>
      </c>
      <c r="E256" s="25"/>
      <c r="F256" s="25"/>
      <c r="G256" s="25"/>
    </row>
    <row r="257" spans="2:7" ht="12.75">
      <c r="B257" s="25"/>
      <c r="C257" s="34" t="s">
        <v>31</v>
      </c>
      <c r="D257" s="35">
        <v>40925.11</v>
      </c>
      <c r="E257" s="25"/>
      <c r="F257" s="25"/>
      <c r="G257" s="25"/>
    </row>
    <row r="258" spans="2:7" ht="12.75">
      <c r="B258" s="5"/>
      <c r="C258" s="23" t="s">
        <v>32</v>
      </c>
      <c r="D258" s="35">
        <v>40238.42</v>
      </c>
      <c r="E258" s="25"/>
      <c r="F258" s="25"/>
      <c r="G258" s="25"/>
    </row>
    <row r="259" spans="2:7" ht="12.75">
      <c r="B259" s="5"/>
      <c r="C259" s="36" t="s">
        <v>13</v>
      </c>
      <c r="D259" s="33">
        <f>D258-D257</f>
        <v>-686.6900000000023</v>
      </c>
      <c r="E259" s="25"/>
      <c r="F259" s="25"/>
      <c r="G259" s="25"/>
    </row>
    <row r="260" spans="2:7" ht="12.75">
      <c r="B260" s="5"/>
      <c r="C260" s="34" t="s">
        <v>33</v>
      </c>
      <c r="D260" s="35">
        <v>45255.9</v>
      </c>
      <c r="E260" s="25"/>
      <c r="F260" s="25"/>
      <c r="G260" s="25"/>
    </row>
    <row r="261" spans="2:7" ht="12.75">
      <c r="B261" s="5"/>
      <c r="C261" s="23" t="s">
        <v>34</v>
      </c>
      <c r="D261" s="35">
        <v>44786.67</v>
      </c>
      <c r="E261" s="25"/>
      <c r="F261" s="25"/>
      <c r="G261" s="25"/>
    </row>
    <row r="262" spans="2:7" ht="12.75">
      <c r="B262" s="5"/>
      <c r="C262" s="36" t="s">
        <v>13</v>
      </c>
      <c r="D262" s="33">
        <f>D261-D260</f>
        <v>-469.2300000000032</v>
      </c>
      <c r="E262" s="25"/>
      <c r="F262" s="25"/>
      <c r="G262" s="25"/>
    </row>
    <row r="263" spans="2:7" ht="12.75">
      <c r="B263" s="5"/>
      <c r="C263" s="34" t="s">
        <v>42</v>
      </c>
      <c r="D263" s="35">
        <v>9022.2</v>
      </c>
      <c r="E263" s="25"/>
      <c r="F263" s="25"/>
      <c r="G263" s="25"/>
    </row>
    <row r="264" spans="2:7" ht="12.75">
      <c r="B264" s="5"/>
      <c r="C264" s="23" t="s">
        <v>43</v>
      </c>
      <c r="D264" s="35">
        <v>7902.2</v>
      </c>
      <c r="E264" s="25"/>
      <c r="F264" s="25"/>
      <c r="G264" s="25"/>
    </row>
    <row r="265" spans="2:7" ht="12.75">
      <c r="B265" s="5"/>
      <c r="C265" s="36" t="s">
        <v>13</v>
      </c>
      <c r="D265" s="33">
        <f>D264-D263</f>
        <v>-1120.000000000001</v>
      </c>
      <c r="E265" s="25"/>
      <c r="F265" s="25"/>
      <c r="G265" s="25"/>
    </row>
    <row r="266" spans="2:7" ht="12.75">
      <c r="B266" s="11"/>
      <c r="C266" s="11" t="s">
        <v>35</v>
      </c>
      <c r="D266" s="27">
        <f>D259+D262+D265</f>
        <v>-2275.9200000000064</v>
      </c>
      <c r="E266" s="25"/>
      <c r="F266" s="25"/>
      <c r="G266" s="25"/>
    </row>
    <row r="267" spans="2:7" ht="12.75">
      <c r="B267" s="11"/>
      <c r="C267" s="11"/>
      <c r="D267" s="27"/>
      <c r="E267" s="25"/>
      <c r="F267" s="25"/>
      <c r="G267" s="25"/>
    </row>
    <row r="268" spans="2:7" ht="12.75">
      <c r="B268" s="11"/>
      <c r="C268" s="14" t="s">
        <v>44</v>
      </c>
      <c r="D268" s="27" t="s">
        <v>37</v>
      </c>
      <c r="E268" s="25"/>
      <c r="F268" s="24">
        <v>-39.89</v>
      </c>
      <c r="G268" s="25"/>
    </row>
    <row r="269" spans="2:7" ht="12.75">
      <c r="B269" s="11"/>
      <c r="C269" s="14" t="s">
        <v>38</v>
      </c>
      <c r="D269" s="27"/>
      <c r="E269" s="25"/>
      <c r="F269" s="24">
        <v>130.2</v>
      </c>
      <c r="G269" s="25"/>
    </row>
    <row r="270" spans="2:7" ht="12.75">
      <c r="B270" s="23" t="s">
        <v>39</v>
      </c>
      <c r="C270" s="23"/>
      <c r="D270" s="23"/>
      <c r="E270" s="23"/>
      <c r="F270" s="23"/>
      <c r="G270" s="23"/>
    </row>
    <row r="271" spans="2:4" ht="12.75">
      <c r="B271" s="30"/>
      <c r="C271" s="42"/>
      <c r="D271" s="30"/>
    </row>
    <row r="272" spans="2:4" ht="12.75">
      <c r="B272" s="40"/>
      <c r="C272" s="40"/>
      <c r="D272" s="43"/>
    </row>
    <row r="273" spans="2:7" ht="12.75">
      <c r="B273" s="1" t="s">
        <v>0</v>
      </c>
      <c r="C273" s="1"/>
      <c r="D273" s="1"/>
      <c r="E273" s="1"/>
      <c r="F273" s="1"/>
      <c r="G273" s="1"/>
    </row>
    <row r="274" spans="2:7" ht="12.75">
      <c r="B274" s="1" t="s">
        <v>51</v>
      </c>
      <c r="C274" s="1"/>
      <c r="D274" s="1"/>
      <c r="E274" s="1"/>
      <c r="F274" s="1"/>
      <c r="G274" s="1"/>
    </row>
    <row r="275" spans="2:7" ht="12.75">
      <c r="B275" s="1" t="s">
        <v>63</v>
      </c>
      <c r="C275" s="1"/>
      <c r="D275" s="1"/>
      <c r="E275" s="1"/>
      <c r="F275" s="1"/>
      <c r="G275" s="1"/>
    </row>
    <row r="276" spans="2:7" ht="12.75" customHeight="1">
      <c r="B276" s="2"/>
      <c r="C276" s="2" t="s">
        <v>3</v>
      </c>
      <c r="D276" s="3" t="s">
        <v>41</v>
      </c>
      <c r="E276" s="3"/>
      <c r="F276" s="4" t="s">
        <v>5</v>
      </c>
      <c r="G276" s="4"/>
    </row>
    <row r="277" spans="2:7" ht="12.75">
      <c r="B277" s="2"/>
      <c r="C277" s="2"/>
      <c r="D277" s="3" t="s">
        <v>6</v>
      </c>
      <c r="E277" s="3" t="s">
        <v>7</v>
      </c>
      <c r="F277" s="3" t="s">
        <v>6</v>
      </c>
      <c r="G277" s="3" t="s">
        <v>8</v>
      </c>
    </row>
    <row r="278" spans="2:7" ht="12.75">
      <c r="B278" s="5">
        <v>1</v>
      </c>
      <c r="C278" s="6" t="s">
        <v>9</v>
      </c>
      <c r="D278" s="1">
        <v>519.71</v>
      </c>
      <c r="E278" s="1"/>
      <c r="F278" s="1">
        <v>519.71</v>
      </c>
      <c r="G278" s="1"/>
    </row>
    <row r="279" spans="2:7" ht="12.75">
      <c r="B279" s="5">
        <v>2</v>
      </c>
      <c r="C279" s="7" t="s">
        <v>64</v>
      </c>
      <c r="D279" s="8"/>
      <c r="E279" s="8"/>
      <c r="F279" s="8" t="s">
        <v>3</v>
      </c>
      <c r="G279" s="8"/>
    </row>
    <row r="280" spans="2:7" ht="12.75">
      <c r="B280" s="5"/>
      <c r="C280" s="2" t="s">
        <v>49</v>
      </c>
      <c r="D280" s="9"/>
      <c r="E280" s="9"/>
      <c r="F280" s="9">
        <v>125042.28</v>
      </c>
      <c r="G280" s="9"/>
    </row>
    <row r="281" spans="2:7" ht="12.75">
      <c r="B281" s="5"/>
      <c r="C281" s="2" t="s">
        <v>65</v>
      </c>
      <c r="D281" s="9"/>
      <c r="E281" s="9"/>
      <c r="F281" s="9">
        <v>149041.03</v>
      </c>
      <c r="G281" s="9"/>
    </row>
    <row r="282" spans="2:7" ht="12.75">
      <c r="B282" s="5"/>
      <c r="C282" s="2" t="s">
        <v>13</v>
      </c>
      <c r="D282" s="9"/>
      <c r="E282" s="9"/>
      <c r="F282" s="9">
        <f>F281-F280</f>
        <v>23998.75</v>
      </c>
      <c r="G282" s="9"/>
    </row>
    <row r="283" spans="2:7" ht="12.75">
      <c r="B283" s="5">
        <v>3</v>
      </c>
      <c r="C283" s="10" t="s">
        <v>14</v>
      </c>
      <c r="D283" s="1" t="s">
        <v>15</v>
      </c>
      <c r="E283" s="1"/>
      <c r="F283" s="1" t="s">
        <v>15</v>
      </c>
      <c r="G283" s="1"/>
    </row>
    <row r="284" spans="2:7" ht="12.75">
      <c r="B284" s="11" t="s">
        <v>16</v>
      </c>
      <c r="C284" s="11"/>
      <c r="D284" s="13">
        <v>16.9</v>
      </c>
      <c r="E284" s="13">
        <f>D284/519.71/12*1000</f>
        <v>2.709844592817789</v>
      </c>
      <c r="F284" s="13">
        <v>16.9</v>
      </c>
      <c r="G284" s="13">
        <f>F284/519.71/12*1000</f>
        <v>2.709844592817789</v>
      </c>
    </row>
    <row r="285" spans="2:7" ht="12.75" customHeight="1">
      <c r="B285" s="14" t="s">
        <v>17</v>
      </c>
      <c r="C285" s="14"/>
      <c r="D285" s="1">
        <f>D286+D287+D288</f>
        <v>34.96</v>
      </c>
      <c r="E285" s="13">
        <f>D285/519.71/12*1000</f>
        <v>5.605690352953249</v>
      </c>
      <c r="F285" s="1">
        <f>F286+F287+F288</f>
        <v>31.98</v>
      </c>
      <c r="G285" s="1">
        <f>G286+G287+G288</f>
        <v>5.12785976794751</v>
      </c>
    </row>
    <row r="286" spans="2:7" ht="12.75">
      <c r="B286" s="2"/>
      <c r="C286" s="15" t="s">
        <v>18</v>
      </c>
      <c r="D286" s="16">
        <v>27.1</v>
      </c>
      <c r="E286" s="13">
        <f>D286/519.71/12*1000</f>
        <v>4.345372098542136</v>
      </c>
      <c r="F286" s="16">
        <f>10+0.48+16.7</f>
        <v>27.18</v>
      </c>
      <c r="G286" s="9">
        <f>F286/519.71/12*1000</f>
        <v>4.3581997652536995</v>
      </c>
    </row>
    <row r="287" spans="2:7" ht="12.75">
      <c r="B287" s="2"/>
      <c r="C287" s="15" t="s">
        <v>19</v>
      </c>
      <c r="D287" s="17">
        <v>7.86</v>
      </c>
      <c r="E287" s="13">
        <f>D287/519.71/12*1000</f>
        <v>1.2603182544111138</v>
      </c>
      <c r="F287" s="17">
        <v>0.6000000000000001</v>
      </c>
      <c r="G287" s="9">
        <f>F287/519.71/12*1000</f>
        <v>0.09620750033672626</v>
      </c>
    </row>
    <row r="288" spans="2:7" ht="12.75">
      <c r="B288" s="32" t="s">
        <v>20</v>
      </c>
      <c r="C288" s="32"/>
      <c r="D288" s="18">
        <v>0</v>
      </c>
      <c r="E288" s="13">
        <f>D288/519.71/12*1000</f>
        <v>0</v>
      </c>
      <c r="F288" s="18">
        <v>4.2</v>
      </c>
      <c r="G288" s="9">
        <f>F288/519.71/12*1000</f>
        <v>0.6734525023570838</v>
      </c>
    </row>
    <row r="289" spans="2:7" ht="12.75" customHeight="1">
      <c r="B289" s="19" t="s">
        <v>21</v>
      </c>
      <c r="C289" s="19"/>
      <c r="D289" s="13">
        <f>D290+D292+D291</f>
        <v>38.98</v>
      </c>
      <c r="E289" s="13">
        <f>E290+E292+E291</f>
        <v>6.250280605209316</v>
      </c>
      <c r="F289" s="13">
        <f>F290+F292+F291</f>
        <v>36.51</v>
      </c>
      <c r="G289" s="13">
        <f>G290+G292+G291</f>
        <v>5.854226395489791</v>
      </c>
    </row>
    <row r="290" spans="2:7" ht="12.75">
      <c r="B290" s="2"/>
      <c r="C290" s="15" t="s">
        <v>22</v>
      </c>
      <c r="D290" s="9">
        <v>32.68</v>
      </c>
      <c r="E290" s="13">
        <f>D290/519.71/12*1000</f>
        <v>5.24010185167369</v>
      </c>
      <c r="F290" s="8">
        <f>23.3+7.1+1+3.1+0.4+0.8+0.2+0.05+0.36</f>
        <v>36.309999999999995</v>
      </c>
      <c r="G290" s="9">
        <f>F290/519.71/12*1000</f>
        <v>5.822157228710882</v>
      </c>
    </row>
    <row r="291" spans="2:7" ht="12.75">
      <c r="B291" s="2"/>
      <c r="C291" s="15" t="s">
        <v>23</v>
      </c>
      <c r="D291" s="9">
        <v>5.8</v>
      </c>
      <c r="E291" s="13">
        <f>D291/519.71/12*1000</f>
        <v>0.9300058365883537</v>
      </c>
      <c r="F291" s="9">
        <v>0.2</v>
      </c>
      <c r="G291" s="9">
        <f>F291/519.71/12*1000</f>
        <v>0.03206916677890875</v>
      </c>
    </row>
    <row r="292" spans="2:7" ht="12.75">
      <c r="B292" s="2"/>
      <c r="C292" s="20" t="s">
        <v>24</v>
      </c>
      <c r="D292" s="9">
        <v>0.5</v>
      </c>
      <c r="E292" s="13">
        <f>D292/519.71/12*1000</f>
        <v>0.08017291694727187</v>
      </c>
      <c r="F292" s="9">
        <v>0</v>
      </c>
      <c r="G292" s="9">
        <f>F292/519.71/12*1000</f>
        <v>0</v>
      </c>
    </row>
    <row r="293" spans="2:7" ht="12.75">
      <c r="B293" s="11" t="s">
        <v>25</v>
      </c>
      <c r="C293" s="11"/>
      <c r="D293" s="13">
        <v>3.68</v>
      </c>
      <c r="E293" s="13">
        <f>D293/519.71/12*1000</f>
        <v>0.590072668731921</v>
      </c>
      <c r="F293" s="13">
        <v>4.46</v>
      </c>
      <c r="G293" s="9">
        <f>F293/519.71/12*1000</f>
        <v>0.715142419169665</v>
      </c>
    </row>
    <row r="294" spans="2:7" ht="12.75">
      <c r="B294" s="21" t="s">
        <v>26</v>
      </c>
      <c r="C294" s="21"/>
      <c r="D294" s="13">
        <v>19.27</v>
      </c>
      <c r="E294" s="13">
        <f>D294/519.71/12*1000</f>
        <v>3.0898642191478576</v>
      </c>
      <c r="F294" s="13">
        <f>3.5+16</f>
        <v>19.5</v>
      </c>
      <c r="G294" s="9">
        <f>F294/519.71/12*1000</f>
        <v>3.1267437609436026</v>
      </c>
    </row>
    <row r="295" spans="2:7" ht="12.75">
      <c r="B295" s="2"/>
      <c r="C295" s="10" t="s">
        <v>28</v>
      </c>
      <c r="D295" s="12">
        <f>D284+D285+D289+D293+D294</f>
        <v>113.79</v>
      </c>
      <c r="E295" s="12">
        <f>E284+E285+E289+E293+E294</f>
        <v>18.24575243886013</v>
      </c>
      <c r="F295" s="12">
        <f>F284+F285+F289+F293+F294</f>
        <v>109.34999999999998</v>
      </c>
      <c r="G295" s="13">
        <f>G284+G285+G289+G293+G294</f>
        <v>17.533816936368357</v>
      </c>
    </row>
    <row r="296" spans="2:7" ht="12.75">
      <c r="B296" s="2">
        <v>4</v>
      </c>
      <c r="C296" s="10" t="s">
        <v>29</v>
      </c>
      <c r="D296" s="13">
        <v>11.38</v>
      </c>
      <c r="E296" s="12">
        <v>1.8</v>
      </c>
      <c r="F296" s="12"/>
      <c r="G296" s="12"/>
    </row>
    <row r="297" spans="2:7" ht="12.75">
      <c r="B297" s="5">
        <v>5</v>
      </c>
      <c r="C297" s="10" t="s">
        <v>13</v>
      </c>
      <c r="D297" s="13">
        <f>D295+D296</f>
        <v>125.17</v>
      </c>
      <c r="E297" s="13">
        <f>E295+E296</f>
        <v>20.04575243886013</v>
      </c>
      <c r="F297" s="13">
        <f>F295-F281/1000</f>
        <v>-39.691030000000026</v>
      </c>
      <c r="G297" s="13"/>
    </row>
    <row r="298" spans="2:7" ht="12.75">
      <c r="B298" s="23"/>
      <c r="C298" s="23"/>
      <c r="D298" s="25"/>
      <c r="E298" s="25"/>
      <c r="F298" s="23"/>
      <c r="G298" s="23"/>
    </row>
    <row r="299" spans="2:7" ht="12.75">
      <c r="B299" s="23"/>
      <c r="C299" s="14" t="s">
        <v>38</v>
      </c>
      <c r="D299" s="25"/>
      <c r="E299" s="25"/>
      <c r="F299" s="27">
        <v>11.2</v>
      </c>
      <c r="G299" s="23"/>
    </row>
    <row r="300" spans="2:7" ht="12.75">
      <c r="B300" s="23" t="s">
        <v>39</v>
      </c>
      <c r="C300" s="23"/>
      <c r="D300" s="23"/>
      <c r="E300" s="23"/>
      <c r="F300" s="23"/>
      <c r="G300" s="23"/>
    </row>
    <row r="302" spans="2:7" ht="12.75">
      <c r="B302" s="1" t="s">
        <v>0</v>
      </c>
      <c r="C302" s="1"/>
      <c r="D302" s="1"/>
      <c r="E302" s="1"/>
      <c r="F302" s="1"/>
      <c r="G302" s="1"/>
    </row>
    <row r="303" spans="2:7" ht="12.75">
      <c r="B303" s="1" t="s">
        <v>51</v>
      </c>
      <c r="C303" s="1"/>
      <c r="D303" s="1"/>
      <c r="E303" s="1"/>
      <c r="F303" s="1"/>
      <c r="G303" s="1"/>
    </row>
    <row r="304" spans="2:7" ht="12.75">
      <c r="B304" s="1" t="s">
        <v>66</v>
      </c>
      <c r="C304" s="1"/>
      <c r="D304" s="1"/>
      <c r="E304" s="1"/>
      <c r="F304" s="1"/>
      <c r="G304" s="1"/>
    </row>
    <row r="305" spans="2:7" ht="12.75" customHeight="1">
      <c r="B305" s="2"/>
      <c r="C305" s="2" t="s">
        <v>3</v>
      </c>
      <c r="D305" s="3" t="s">
        <v>41</v>
      </c>
      <c r="E305" s="3"/>
      <c r="F305" s="4" t="s">
        <v>5</v>
      </c>
      <c r="G305" s="4"/>
    </row>
    <row r="306" spans="2:7" ht="12.75">
      <c r="B306" s="2"/>
      <c r="C306" s="2"/>
      <c r="D306" s="3" t="s">
        <v>6</v>
      </c>
      <c r="E306" s="3" t="s">
        <v>7</v>
      </c>
      <c r="F306" s="3" t="s">
        <v>6</v>
      </c>
      <c r="G306" s="3" t="s">
        <v>8</v>
      </c>
    </row>
    <row r="307" spans="2:7" ht="12.75">
      <c r="B307" s="5">
        <v>1</v>
      </c>
      <c r="C307" s="6" t="s">
        <v>9</v>
      </c>
      <c r="D307" s="1">
        <v>446.6</v>
      </c>
      <c r="E307" s="1"/>
      <c r="F307" s="1">
        <v>446.6</v>
      </c>
      <c r="G307" s="1"/>
    </row>
    <row r="308" spans="2:7" ht="12.75">
      <c r="B308" s="5">
        <v>2</v>
      </c>
      <c r="C308" s="7" t="s">
        <v>67</v>
      </c>
      <c r="D308" s="8"/>
      <c r="E308" s="8"/>
      <c r="F308" s="8" t="s">
        <v>3</v>
      </c>
      <c r="G308" s="8"/>
    </row>
    <row r="309" spans="2:7" ht="12.75">
      <c r="B309" s="5"/>
      <c r="C309" s="2" t="s">
        <v>49</v>
      </c>
      <c r="D309" s="9"/>
      <c r="E309" s="9"/>
      <c r="F309" s="9">
        <v>107451.96</v>
      </c>
      <c r="G309" s="9"/>
    </row>
    <row r="310" spans="2:7" ht="12.75">
      <c r="B310" s="5"/>
      <c r="C310" s="2" t="s">
        <v>50</v>
      </c>
      <c r="D310" s="9"/>
      <c r="E310" s="9"/>
      <c r="F310" s="9">
        <v>109453.02</v>
      </c>
      <c r="G310" s="9"/>
    </row>
    <row r="311" spans="2:7" ht="12.75">
      <c r="B311" s="5"/>
      <c r="C311" s="2" t="s">
        <v>13</v>
      </c>
      <c r="D311" s="9"/>
      <c r="E311" s="9"/>
      <c r="F311" s="9">
        <f>F310-F309</f>
        <v>2001.0599999999977</v>
      </c>
      <c r="G311" s="9"/>
    </row>
    <row r="312" spans="2:7" ht="12.75">
      <c r="B312" s="5">
        <v>3</v>
      </c>
      <c r="C312" s="10" t="s">
        <v>14</v>
      </c>
      <c r="D312" s="1" t="s">
        <v>15</v>
      </c>
      <c r="E312" s="1"/>
      <c r="F312" s="1" t="s">
        <v>15</v>
      </c>
      <c r="G312" s="1"/>
    </row>
    <row r="313" spans="2:7" ht="12.75">
      <c r="B313" s="11" t="s">
        <v>16</v>
      </c>
      <c r="C313" s="11"/>
      <c r="D313" s="13">
        <v>14.52</v>
      </c>
      <c r="E313" s="13">
        <f>D313/446.6/12*1000</f>
        <v>2.70935960591133</v>
      </c>
      <c r="F313" s="13">
        <v>14.5</v>
      </c>
      <c r="G313" s="13">
        <f>F313/446.6/12*1000</f>
        <v>2.7056277056277054</v>
      </c>
    </row>
    <row r="314" spans="2:7" ht="12.75" customHeight="1">
      <c r="B314" s="14" t="s">
        <v>17</v>
      </c>
      <c r="C314" s="14"/>
      <c r="D314" s="1">
        <f>D315+D316+D317</f>
        <v>30.05</v>
      </c>
      <c r="E314" s="13">
        <f>D314/446.6/12*1000</f>
        <v>5.607180176145692</v>
      </c>
      <c r="F314" s="1">
        <f>F315+F316+F317</f>
        <v>38.57000000000001</v>
      </c>
      <c r="G314" s="1">
        <f>G315+G316+G317</f>
        <v>7.196969696969697</v>
      </c>
    </row>
    <row r="315" spans="2:7" ht="12.75">
      <c r="B315" s="2"/>
      <c r="C315" s="15" t="s">
        <v>18</v>
      </c>
      <c r="D315" s="16">
        <v>23.3</v>
      </c>
      <c r="E315" s="13">
        <f>D315/446.6/12*1000</f>
        <v>4.3476638304224515</v>
      </c>
      <c r="F315" s="16">
        <f>8.57+0.4+14.3</f>
        <v>23.270000000000003</v>
      </c>
      <c r="G315" s="9">
        <f>F315/446.6/12*1000</f>
        <v>4.342065979997015</v>
      </c>
    </row>
    <row r="316" spans="2:7" ht="12.75">
      <c r="B316" s="2"/>
      <c r="C316" s="15" t="s">
        <v>19</v>
      </c>
      <c r="D316" s="17">
        <v>6.75</v>
      </c>
      <c r="E316" s="13">
        <f>D316/446.6/12*1000</f>
        <v>1.2595163457232421</v>
      </c>
      <c r="F316" s="17">
        <v>15.3</v>
      </c>
      <c r="G316" s="9">
        <f>F316/446.6/12*1000</f>
        <v>2.8549037169726827</v>
      </c>
    </row>
    <row r="317" spans="2:7" ht="12.75">
      <c r="B317" s="32" t="s">
        <v>20</v>
      </c>
      <c r="C317" s="32"/>
      <c r="D317" s="18">
        <v>0</v>
      </c>
      <c r="E317" s="13">
        <f>D317/446.6/12*1000</f>
        <v>0</v>
      </c>
      <c r="F317" s="18">
        <v>0</v>
      </c>
      <c r="G317" s="9">
        <f>F317/446.6/12*1000</f>
        <v>0</v>
      </c>
    </row>
    <row r="318" spans="2:7" ht="12.75" customHeight="1">
      <c r="B318" s="19" t="s">
        <v>21</v>
      </c>
      <c r="C318" s="19"/>
      <c r="D318" s="13">
        <f>D319+D321+D320</f>
        <v>33.51</v>
      </c>
      <c r="E318" s="13">
        <f>E319+E321+E320</f>
        <v>6.252798925212717</v>
      </c>
      <c r="F318" s="13">
        <f>F319+F321+F320</f>
        <v>30.84</v>
      </c>
      <c r="G318" s="13">
        <f>G319+G321+G320</f>
        <v>5.754590237348857</v>
      </c>
    </row>
    <row r="319" spans="2:7" ht="12.75">
      <c r="B319" s="2"/>
      <c r="C319" s="15" t="s">
        <v>22</v>
      </c>
      <c r="D319" s="9">
        <v>28.08</v>
      </c>
      <c r="E319" s="13">
        <f>D319/446.6/12*1000</f>
        <v>5.2395879982086875</v>
      </c>
      <c r="F319" s="8">
        <f>20+6.1+0.88+2.7+0.36+0.2+0.04+0.3</f>
        <v>30.58</v>
      </c>
      <c r="G319" s="9">
        <f>F319/446.6/12*1000</f>
        <v>5.70607553366174</v>
      </c>
    </row>
    <row r="320" spans="2:7" ht="12.75">
      <c r="B320" s="2"/>
      <c r="C320" s="15" t="s">
        <v>23</v>
      </c>
      <c r="D320" s="9">
        <v>5</v>
      </c>
      <c r="E320" s="13">
        <f>D320/446.6/12*1000</f>
        <v>0.9329750709061053</v>
      </c>
      <c r="F320" s="9">
        <v>0.26</v>
      </c>
      <c r="G320" s="9">
        <f>F320/446.6/12*1000</f>
        <v>0.04851470368711748</v>
      </c>
    </row>
    <row r="321" spans="2:7" ht="12.75">
      <c r="B321" s="2"/>
      <c r="C321" s="20" t="s">
        <v>24</v>
      </c>
      <c r="D321" s="9">
        <v>0.43</v>
      </c>
      <c r="E321" s="13">
        <f>D321/446.6/12*1000</f>
        <v>0.08023585609792507</v>
      </c>
      <c r="F321" s="9">
        <v>0</v>
      </c>
      <c r="G321" s="9">
        <f>F321/446.6/12*1000</f>
        <v>0</v>
      </c>
    </row>
    <row r="322" spans="2:7" ht="12.75">
      <c r="B322" s="11" t="s">
        <v>25</v>
      </c>
      <c r="C322" s="11"/>
      <c r="D322" s="13">
        <v>3.16</v>
      </c>
      <c r="E322" s="13">
        <f>D322/446.6/12*1000</f>
        <v>0.5896402448126585</v>
      </c>
      <c r="F322" s="13">
        <v>3.3</v>
      </c>
      <c r="G322" s="9">
        <f>F322/446.6/12*1000</f>
        <v>0.6157635467980296</v>
      </c>
    </row>
    <row r="323" spans="2:7" ht="12.75">
      <c r="B323" s="21" t="s">
        <v>26</v>
      </c>
      <c r="C323" s="21"/>
      <c r="D323" s="13">
        <v>16.56</v>
      </c>
      <c r="E323" s="13">
        <f>D323/446.6/12*1000</f>
        <v>3.0900134348410204</v>
      </c>
      <c r="F323" s="1">
        <f>3+13.77</f>
        <v>16.77</v>
      </c>
      <c r="G323" s="9">
        <f>F323/446.6/12*1000</f>
        <v>3.1291983878190774</v>
      </c>
    </row>
    <row r="324" spans="2:7" ht="12.75">
      <c r="B324" s="2"/>
      <c r="C324" s="10" t="s">
        <v>28</v>
      </c>
      <c r="D324" s="12">
        <f>D313+D314+D318+D322+D323</f>
        <v>97.8</v>
      </c>
      <c r="E324" s="12">
        <f>E313+E314+E318+E322+E323</f>
        <v>18.24899238692342</v>
      </c>
      <c r="F324" s="12">
        <f>F313+F314+F318+F322+F323</f>
        <v>103.98</v>
      </c>
      <c r="G324" s="13">
        <f>G313+G314+G318+G322+G323</f>
        <v>19.402149574563367</v>
      </c>
    </row>
    <row r="325" spans="2:7" ht="12.75">
      <c r="B325" s="2">
        <v>4</v>
      </c>
      <c r="C325" s="10" t="s">
        <v>29</v>
      </c>
      <c r="D325" s="13">
        <v>9.78</v>
      </c>
      <c r="E325" s="12">
        <v>1.8</v>
      </c>
      <c r="F325" s="12"/>
      <c r="G325" s="12"/>
    </row>
    <row r="326" spans="2:7" ht="12.75">
      <c r="B326" s="5">
        <v>5</v>
      </c>
      <c r="C326" s="10" t="s">
        <v>13</v>
      </c>
      <c r="D326" s="13">
        <f>D324+D325</f>
        <v>107.58</v>
      </c>
      <c r="E326" s="13">
        <f>E324+E325</f>
        <v>20.04899238692342</v>
      </c>
      <c r="F326" s="13">
        <f>F324-F310/1000</f>
        <v>-5.473020000000005</v>
      </c>
      <c r="G326" s="13"/>
    </row>
    <row r="327" spans="2:7" ht="12.75">
      <c r="B327" s="5"/>
      <c r="C327" s="10"/>
      <c r="D327" s="13"/>
      <c r="E327" s="13"/>
      <c r="F327" s="13"/>
      <c r="G327" s="13"/>
    </row>
    <row r="328" spans="2:7" ht="12.75">
      <c r="B328" s="23"/>
      <c r="C328" s="14" t="s">
        <v>45</v>
      </c>
      <c r="D328" s="25"/>
      <c r="E328" s="25"/>
      <c r="F328" s="5">
        <v>-40.9</v>
      </c>
      <c r="G328" s="23"/>
    </row>
    <row r="329" spans="2:7" ht="12.75">
      <c r="B329" s="23" t="s">
        <v>39</v>
      </c>
      <c r="C329" s="23"/>
      <c r="D329" s="23"/>
      <c r="E329" s="23"/>
      <c r="F329" s="23"/>
      <c r="G329" s="23"/>
    </row>
    <row r="331" spans="2:7" ht="12.75">
      <c r="B331" s="1" t="s">
        <v>0</v>
      </c>
      <c r="C331" s="1"/>
      <c r="D331" s="1"/>
      <c r="E331" s="1"/>
      <c r="F331" s="1"/>
      <c r="G331" s="1"/>
    </row>
    <row r="332" spans="2:7" ht="12.75">
      <c r="B332" s="1" t="s">
        <v>51</v>
      </c>
      <c r="C332" s="1"/>
      <c r="D332" s="1"/>
      <c r="E332" s="1"/>
      <c r="F332" s="1"/>
      <c r="G332" s="1"/>
    </row>
    <row r="333" spans="2:7" ht="12.75">
      <c r="B333" s="1" t="s">
        <v>68</v>
      </c>
      <c r="C333" s="1"/>
      <c r="D333" s="1"/>
      <c r="E333" s="1"/>
      <c r="F333" s="1"/>
      <c r="G333" s="1"/>
    </row>
    <row r="334" spans="2:7" ht="12.75" customHeight="1">
      <c r="B334" s="2"/>
      <c r="C334" s="2" t="s">
        <v>3</v>
      </c>
      <c r="D334" s="3" t="s">
        <v>41</v>
      </c>
      <c r="E334" s="3"/>
      <c r="F334" s="4" t="s">
        <v>5</v>
      </c>
      <c r="G334" s="4"/>
    </row>
    <row r="335" spans="2:7" ht="12.75">
      <c r="B335" s="2"/>
      <c r="C335" s="2"/>
      <c r="D335" s="3" t="s">
        <v>6</v>
      </c>
      <c r="E335" s="3" t="s">
        <v>7</v>
      </c>
      <c r="F335" s="3" t="s">
        <v>6</v>
      </c>
      <c r="G335" s="3" t="s">
        <v>8</v>
      </c>
    </row>
    <row r="336" spans="2:7" ht="12.75">
      <c r="B336" s="5">
        <v>1</v>
      </c>
      <c r="C336" s="6" t="s">
        <v>9</v>
      </c>
      <c r="D336" s="1">
        <v>403.9</v>
      </c>
      <c r="E336" s="1"/>
      <c r="F336" s="1">
        <v>403.9</v>
      </c>
      <c r="G336" s="1"/>
    </row>
    <row r="337" spans="2:7" ht="12.75">
      <c r="B337" s="5">
        <v>2</v>
      </c>
      <c r="C337" s="7" t="s">
        <v>69</v>
      </c>
      <c r="D337" s="8"/>
      <c r="E337" s="8"/>
      <c r="F337" s="8" t="s">
        <v>3</v>
      </c>
      <c r="G337" s="8"/>
    </row>
    <row r="338" spans="2:7" ht="12.75">
      <c r="B338" s="5"/>
      <c r="C338" s="2" t="s">
        <v>49</v>
      </c>
      <c r="D338" s="9"/>
      <c r="E338" s="9"/>
      <c r="F338" s="9">
        <v>87969.42</v>
      </c>
      <c r="G338" s="9"/>
    </row>
    <row r="339" spans="2:7" ht="12.75">
      <c r="B339" s="5"/>
      <c r="C339" s="2" t="s">
        <v>50</v>
      </c>
      <c r="D339" s="9"/>
      <c r="E339" s="9"/>
      <c r="F339" s="9">
        <v>97377.94</v>
      </c>
      <c r="G339" s="9"/>
    </row>
    <row r="340" spans="2:7" ht="12.75">
      <c r="B340" s="5"/>
      <c r="C340" s="2" t="s">
        <v>13</v>
      </c>
      <c r="D340" s="9"/>
      <c r="E340" s="9"/>
      <c r="F340" s="9">
        <f>F339-F338</f>
        <v>9408.520000000004</v>
      </c>
      <c r="G340" s="9"/>
    </row>
    <row r="341" spans="2:7" ht="12.75">
      <c r="B341" s="5">
        <v>3</v>
      </c>
      <c r="C341" s="10" t="s">
        <v>14</v>
      </c>
      <c r="D341" s="1" t="s">
        <v>15</v>
      </c>
      <c r="E341" s="1"/>
      <c r="F341" s="1" t="s">
        <v>15</v>
      </c>
      <c r="G341" s="1"/>
    </row>
    <row r="342" spans="2:7" ht="12.75">
      <c r="B342" s="11" t="s">
        <v>16</v>
      </c>
      <c r="C342" s="11"/>
      <c r="D342" s="13">
        <v>11.88</v>
      </c>
      <c r="E342" s="13">
        <f>D342/403.9/12*1000</f>
        <v>2.4511017578608567</v>
      </c>
      <c r="F342" s="13">
        <v>11.88</v>
      </c>
      <c r="G342" s="13">
        <f>F342/403.9/12*1000</f>
        <v>2.4511017578608567</v>
      </c>
    </row>
    <row r="343" spans="2:7" ht="12.75" customHeight="1">
      <c r="B343" s="14" t="s">
        <v>17</v>
      </c>
      <c r="C343" s="14"/>
      <c r="D343" s="1">
        <f>D344+D345+D346</f>
        <v>22.900000000000002</v>
      </c>
      <c r="E343" s="13">
        <f>D343/403.9/12*1000</f>
        <v>4.724766856482629</v>
      </c>
      <c r="F343" s="1">
        <f>F344+F345+F346</f>
        <v>22.56</v>
      </c>
      <c r="G343" s="1">
        <f>G344+G345+G346</f>
        <v>4.654617479574152</v>
      </c>
    </row>
    <row r="344" spans="2:7" ht="12.75">
      <c r="B344" s="2"/>
      <c r="C344" s="15" t="s">
        <v>18</v>
      </c>
      <c r="D344" s="16">
        <v>21.1</v>
      </c>
      <c r="E344" s="13">
        <f>D344/403.9/12*1000</f>
        <v>4.353387802261286</v>
      </c>
      <c r="F344" s="16">
        <f>7.75+0.85+12.98</f>
        <v>21.58</v>
      </c>
      <c r="G344" s="9">
        <f>F344/403.9/12*1000</f>
        <v>4.4524222167203105</v>
      </c>
    </row>
    <row r="345" spans="2:7" ht="12.75">
      <c r="B345" s="2"/>
      <c r="C345" s="15" t="s">
        <v>19</v>
      </c>
      <c r="D345" s="18">
        <v>1.8</v>
      </c>
      <c r="E345" s="13">
        <f>D345/403.9/12*1000</f>
        <v>0.37137905422134193</v>
      </c>
      <c r="F345" s="17">
        <v>0.98</v>
      </c>
      <c r="G345" s="9">
        <f>F345/403.9/12*1000</f>
        <v>0.20219526285384173</v>
      </c>
    </row>
    <row r="346" spans="2:7" ht="12.75">
      <c r="B346" s="32" t="s">
        <v>20</v>
      </c>
      <c r="C346" s="32"/>
      <c r="D346" s="18">
        <v>0</v>
      </c>
      <c r="E346" s="13">
        <f>D346/403.9/12*1000</f>
        <v>0</v>
      </c>
      <c r="F346" s="18">
        <v>0</v>
      </c>
      <c r="G346" s="9">
        <f>F346/403.9/12*1000</f>
        <v>0</v>
      </c>
    </row>
    <row r="347" spans="2:7" ht="12.75" customHeight="1">
      <c r="B347" s="19" t="s">
        <v>21</v>
      </c>
      <c r="C347" s="19"/>
      <c r="D347" s="13">
        <f>D348+D350+D349</f>
        <v>30.29</v>
      </c>
      <c r="E347" s="13">
        <f>E348+E350+E349</f>
        <v>6.2494841957580265</v>
      </c>
      <c r="F347" s="13">
        <f>F348+F350+F349</f>
        <v>30.630000000000003</v>
      </c>
      <c r="G347" s="13">
        <f>G348+G350+G349</f>
        <v>6.319633572666502</v>
      </c>
    </row>
    <row r="348" spans="2:7" ht="12.75">
      <c r="B348" s="2"/>
      <c r="C348" s="15" t="s">
        <v>22</v>
      </c>
      <c r="D348" s="9">
        <v>25.4</v>
      </c>
      <c r="E348" s="13">
        <f>D348/403.9/12*1000</f>
        <v>5.240571098456714</v>
      </c>
      <c r="F348" s="8">
        <f>18.1+5.5+0.8+2.4+0.55+2.66+0.04+0.28</f>
        <v>30.330000000000002</v>
      </c>
      <c r="G348" s="9">
        <f>F348/403.9/12*1000</f>
        <v>6.257737063629612</v>
      </c>
    </row>
    <row r="349" spans="2:7" ht="12.75">
      <c r="B349" s="2"/>
      <c r="C349" s="15" t="s">
        <v>23</v>
      </c>
      <c r="D349" s="9">
        <v>4.5</v>
      </c>
      <c r="E349" s="13">
        <f>D349/403.9/12*1000</f>
        <v>0.9284476355533549</v>
      </c>
      <c r="F349" s="9">
        <v>0.30000000000000004</v>
      </c>
      <c r="G349" s="9">
        <f>F349/403.9/12*1000</f>
        <v>0.06189650903689033</v>
      </c>
    </row>
    <row r="350" spans="2:7" ht="12.75">
      <c r="B350" s="2"/>
      <c r="C350" s="20" t="s">
        <v>24</v>
      </c>
      <c r="D350" s="9">
        <v>0.39</v>
      </c>
      <c r="E350" s="13">
        <f>D350/403.9/12*1000</f>
        <v>0.08046546174795742</v>
      </c>
      <c r="F350" s="9">
        <v>0</v>
      </c>
      <c r="G350" s="9">
        <f>F350/403.9/12*1000</f>
        <v>0</v>
      </c>
    </row>
    <row r="351" spans="2:7" ht="12.75">
      <c r="B351" s="11" t="s">
        <v>25</v>
      </c>
      <c r="C351" s="11"/>
      <c r="D351" s="13">
        <v>2.45</v>
      </c>
      <c r="E351" s="13">
        <f>D351/403.9/12*1000</f>
        <v>0.5054881571346044</v>
      </c>
      <c r="F351" s="13">
        <v>2.92</v>
      </c>
      <c r="G351" s="9">
        <f>F351/403.9/12*1000</f>
        <v>0.6024593546257325</v>
      </c>
    </row>
    <row r="352" spans="2:7" ht="12.75">
      <c r="B352" s="21" t="s">
        <v>26</v>
      </c>
      <c r="C352" s="21"/>
      <c r="D352" s="13">
        <v>12.46</v>
      </c>
      <c r="E352" s="13">
        <f>D352/403.9/12*1000</f>
        <v>2.570768341998845</v>
      </c>
      <c r="F352" s="1">
        <f>2.7+12.46</f>
        <v>15.16</v>
      </c>
      <c r="G352" s="9">
        <f>F352/403.9/12*1000</f>
        <v>3.127836923330858</v>
      </c>
    </row>
    <row r="353" spans="2:7" ht="12.75">
      <c r="B353" s="2"/>
      <c r="C353" s="10" t="s">
        <v>28</v>
      </c>
      <c r="D353" s="12">
        <f>D342+D343+D347+D351+D352</f>
        <v>79.97999999999999</v>
      </c>
      <c r="E353" s="12">
        <f>E342+E343+E347+E351+E352</f>
        <v>16.50160930923496</v>
      </c>
      <c r="F353" s="12">
        <f>F342+F343+F347+F351+F352</f>
        <v>83.14999999999999</v>
      </c>
      <c r="G353" s="13">
        <f>G342+G343+G347+G351+G352</f>
        <v>17.1556490880581</v>
      </c>
    </row>
    <row r="354" spans="2:7" ht="12.75">
      <c r="B354" s="2">
        <v>4</v>
      </c>
      <c r="C354" s="10" t="s">
        <v>29</v>
      </c>
      <c r="D354" s="13">
        <v>8</v>
      </c>
      <c r="E354" s="13">
        <v>1.65</v>
      </c>
      <c r="F354" s="12"/>
      <c r="G354" s="12"/>
    </row>
    <row r="355" spans="2:7" ht="12.75">
      <c r="B355" s="5">
        <v>5</v>
      </c>
      <c r="C355" s="10" t="s">
        <v>13</v>
      </c>
      <c r="D355" s="13">
        <f>D353+D354</f>
        <v>87.97999999999999</v>
      </c>
      <c r="E355" s="13">
        <f>E353+E354</f>
        <v>18.15160930923496</v>
      </c>
      <c r="F355" s="13">
        <f>F353-F339/1000</f>
        <v>-14.227940000000004</v>
      </c>
      <c r="G355" s="13"/>
    </row>
    <row r="356" spans="2:7" ht="12.75">
      <c r="B356" s="23"/>
      <c r="C356" s="23"/>
      <c r="D356" s="25"/>
      <c r="E356" s="25"/>
      <c r="F356" s="23"/>
      <c r="G356" s="23"/>
    </row>
    <row r="357" spans="2:7" ht="12.75">
      <c r="B357" s="23"/>
      <c r="C357" s="14" t="s">
        <v>45</v>
      </c>
      <c r="D357" s="25"/>
      <c r="E357" s="25"/>
      <c r="F357" s="33">
        <v>-43</v>
      </c>
      <c r="G357" s="23"/>
    </row>
    <row r="358" spans="2:7" ht="12.75">
      <c r="B358" s="23" t="s">
        <v>39</v>
      </c>
      <c r="C358" s="23"/>
      <c r="D358" s="23"/>
      <c r="E358" s="23"/>
      <c r="F358" s="23"/>
      <c r="G358" s="23"/>
    </row>
    <row r="359" spans="2:4" ht="12.75">
      <c r="B359" s="30"/>
      <c r="C359" s="29"/>
      <c r="D359" s="38"/>
    </row>
    <row r="360" spans="2:4" ht="12.75">
      <c r="B360" s="30"/>
      <c r="C360" s="29"/>
      <c r="D360" s="38"/>
    </row>
    <row r="361" spans="2:7" ht="12.75">
      <c r="B361" s="1" t="s">
        <v>0</v>
      </c>
      <c r="C361" s="1"/>
      <c r="D361" s="1"/>
      <c r="E361" s="1"/>
      <c r="F361" s="1"/>
      <c r="G361" s="1"/>
    </row>
    <row r="362" spans="2:7" ht="12.75">
      <c r="B362" s="1" t="s">
        <v>51</v>
      </c>
      <c r="C362" s="1"/>
      <c r="D362" s="1"/>
      <c r="E362" s="1"/>
      <c r="F362" s="1"/>
      <c r="G362" s="1"/>
    </row>
    <row r="363" spans="2:7" ht="12.75">
      <c r="B363" s="1" t="s">
        <v>70</v>
      </c>
      <c r="C363" s="1"/>
      <c r="D363" s="1"/>
      <c r="E363" s="1"/>
      <c r="F363" s="1"/>
      <c r="G363" s="1"/>
    </row>
    <row r="364" spans="2:7" ht="12.75" customHeight="1">
      <c r="B364" s="2"/>
      <c r="C364" s="2" t="s">
        <v>3</v>
      </c>
      <c r="D364" s="3" t="s">
        <v>41</v>
      </c>
      <c r="E364" s="3"/>
      <c r="F364" s="4" t="s">
        <v>5</v>
      </c>
      <c r="G364" s="4"/>
    </row>
    <row r="365" spans="2:7" ht="12.75">
      <c r="B365" s="2"/>
      <c r="C365" s="2"/>
      <c r="D365" s="3" t="s">
        <v>6</v>
      </c>
      <c r="E365" s="3" t="s">
        <v>7</v>
      </c>
      <c r="F365" s="3" t="s">
        <v>6</v>
      </c>
      <c r="G365" s="3" t="s">
        <v>8</v>
      </c>
    </row>
    <row r="366" spans="2:7" ht="12.75">
      <c r="B366" s="5">
        <v>1</v>
      </c>
      <c r="C366" s="6" t="s">
        <v>9</v>
      </c>
      <c r="D366" s="1">
        <v>359.7</v>
      </c>
      <c r="E366" s="1"/>
      <c r="F366" s="1">
        <v>359.7</v>
      </c>
      <c r="G366" s="1"/>
    </row>
    <row r="367" spans="2:7" ht="12.75">
      <c r="B367" s="5">
        <v>2</v>
      </c>
      <c r="C367" s="7" t="s">
        <v>71</v>
      </c>
      <c r="D367" s="8"/>
      <c r="E367" s="8"/>
      <c r="F367" s="8" t="s">
        <v>3</v>
      </c>
      <c r="G367" s="8"/>
    </row>
    <row r="368" spans="2:7" ht="12.75">
      <c r="B368" s="5"/>
      <c r="C368" s="2" t="s">
        <v>49</v>
      </c>
      <c r="D368" s="9"/>
      <c r="E368" s="9"/>
      <c r="F368" s="9">
        <v>86485.92</v>
      </c>
      <c r="G368" s="9"/>
    </row>
    <row r="369" spans="2:7" ht="12.75">
      <c r="B369" s="5"/>
      <c r="C369" s="2" t="s">
        <v>50</v>
      </c>
      <c r="D369" s="9"/>
      <c r="E369" s="9"/>
      <c r="F369" s="9">
        <v>87692.67</v>
      </c>
      <c r="G369" s="9"/>
    </row>
    <row r="370" spans="2:7" ht="12.75">
      <c r="B370" s="5"/>
      <c r="C370" s="2" t="s">
        <v>13</v>
      </c>
      <c r="D370" s="9"/>
      <c r="E370" s="9"/>
      <c r="F370" s="9">
        <f>F369-F368</f>
        <v>1206.75</v>
      </c>
      <c r="G370" s="9"/>
    </row>
    <row r="371" spans="2:7" ht="12.75">
      <c r="B371" s="5">
        <v>3</v>
      </c>
      <c r="C371" s="10" t="s">
        <v>14</v>
      </c>
      <c r="D371" s="1" t="s">
        <v>15</v>
      </c>
      <c r="E371" s="1"/>
      <c r="F371" s="1" t="s">
        <v>15</v>
      </c>
      <c r="G371" s="1"/>
    </row>
    <row r="372" spans="2:7" ht="12.75">
      <c r="B372" s="11" t="s">
        <v>16</v>
      </c>
      <c r="C372" s="11"/>
      <c r="D372" s="13">
        <v>11.7</v>
      </c>
      <c r="E372" s="13">
        <f>D372/359.7/12*1000</f>
        <v>2.7105921601334444</v>
      </c>
      <c r="F372" s="13">
        <v>11.68</v>
      </c>
      <c r="G372" s="13">
        <f>F372/359.7/12*1000</f>
        <v>2.7059586692614217</v>
      </c>
    </row>
    <row r="373" spans="2:7" ht="12.75" customHeight="1">
      <c r="B373" s="14" t="s">
        <v>17</v>
      </c>
      <c r="C373" s="14"/>
      <c r="D373" s="1">
        <f>D374+D375+D376</f>
        <v>24.18</v>
      </c>
      <c r="E373" s="13">
        <f>D373/359.7/12*1000</f>
        <v>5.601890464275785</v>
      </c>
      <c r="F373" s="1">
        <f>F374+F375+F376</f>
        <v>58.14</v>
      </c>
      <c r="G373" s="13">
        <f>F373/359.7/12*1000</f>
        <v>13.469557964970809</v>
      </c>
    </row>
    <row r="374" spans="2:7" ht="12.75">
      <c r="B374" s="2"/>
      <c r="C374" s="15" t="s">
        <v>18</v>
      </c>
      <c r="D374" s="16">
        <v>18.74</v>
      </c>
      <c r="E374" s="13">
        <f>D374/359.7/12*1000</f>
        <v>4.341580947085533</v>
      </c>
      <c r="F374" s="16">
        <f>6.9+1.29+11.55</f>
        <v>19.740000000000002</v>
      </c>
      <c r="G374" s="13">
        <f>F374/359.7/12*1000</f>
        <v>4.573255490686684</v>
      </c>
    </row>
    <row r="375" spans="2:7" ht="12.75">
      <c r="B375" s="2"/>
      <c r="C375" s="15" t="s">
        <v>19</v>
      </c>
      <c r="D375" s="17">
        <v>5.44</v>
      </c>
      <c r="E375" s="13">
        <f>D375/359.7/12*1000</f>
        <v>1.2603095171902512</v>
      </c>
      <c r="F375" s="17">
        <v>35.6</v>
      </c>
      <c r="G375" s="13">
        <f>F375/359.7/12*1000</f>
        <v>8.247613752200909</v>
      </c>
    </row>
    <row r="376" spans="2:7" ht="12.75">
      <c r="B376" s="32" t="s">
        <v>20</v>
      </c>
      <c r="C376" s="32"/>
      <c r="D376" s="18">
        <v>0</v>
      </c>
      <c r="E376" s="13">
        <f>D376/359.7/12*1000</f>
        <v>0</v>
      </c>
      <c r="F376" s="18">
        <v>2.8</v>
      </c>
      <c r="G376" s="13">
        <f>F376/359.7/12*1000</f>
        <v>0.6486887220832175</v>
      </c>
    </row>
    <row r="377" spans="2:7" ht="12.75" customHeight="1">
      <c r="B377" s="19" t="s">
        <v>21</v>
      </c>
      <c r="C377" s="19"/>
      <c r="D377" s="13">
        <f>D378+D380+D379</f>
        <v>26.950000000000003</v>
      </c>
      <c r="E377" s="13">
        <f>D377/359.7/12*1000</f>
        <v>6.24362895005097</v>
      </c>
      <c r="F377" s="13">
        <f>F378+F380+F379</f>
        <v>29.24</v>
      </c>
      <c r="G377" s="13">
        <f>F377/359.7/12*1000</f>
        <v>6.7741636548976</v>
      </c>
    </row>
    <row r="378" spans="2:7" ht="12.75">
      <c r="B378" s="2"/>
      <c r="C378" s="15" t="s">
        <v>22</v>
      </c>
      <c r="D378" s="9">
        <v>22.6</v>
      </c>
      <c r="E378" s="13">
        <f>D378/359.7/12*1000</f>
        <v>5.23584468538597</v>
      </c>
      <c r="F378" s="8">
        <f>16.1+4.9+0.7+2.18+0.3+2.5+2+0.03+0.25</f>
        <v>28.96</v>
      </c>
      <c r="G378" s="13">
        <f>F378/359.7/12*1000</f>
        <v>6.709294782689279</v>
      </c>
    </row>
    <row r="379" spans="2:7" ht="12.75">
      <c r="B379" s="2"/>
      <c r="C379" s="15" t="s">
        <v>23</v>
      </c>
      <c r="D379" s="9">
        <v>4.01</v>
      </c>
      <c r="E379" s="13">
        <f>D379/359.7/12*1000</f>
        <v>0.9290149198406079</v>
      </c>
      <c r="F379" s="9">
        <v>0.2</v>
      </c>
      <c r="G379" s="13">
        <f>F379/359.7/12*1000</f>
        <v>0.04633490872022982</v>
      </c>
    </row>
    <row r="380" spans="2:7" ht="12.75">
      <c r="B380" s="2"/>
      <c r="C380" s="20" t="s">
        <v>24</v>
      </c>
      <c r="D380" s="9">
        <v>0.34</v>
      </c>
      <c r="E380" s="13">
        <f>D380/359.7/12*1000</f>
        <v>0.0787693448243907</v>
      </c>
      <c r="F380" s="9">
        <v>0.08</v>
      </c>
      <c r="G380" s="13">
        <f>F380/359.7/12*1000</f>
        <v>0.01853396348809193</v>
      </c>
    </row>
    <row r="381" spans="2:7" ht="12.75">
      <c r="B381" s="11" t="s">
        <v>25</v>
      </c>
      <c r="C381" s="11"/>
      <c r="D381" s="13">
        <v>2.55</v>
      </c>
      <c r="E381" s="13">
        <f>D381/359.7/12*1000</f>
        <v>0.5907700861829303</v>
      </c>
      <c r="F381" s="13">
        <v>2.63</v>
      </c>
      <c r="G381" s="13">
        <f>F381/359.7/12*1000</f>
        <v>0.6093040496710221</v>
      </c>
    </row>
    <row r="382" spans="2:7" ht="12.75">
      <c r="B382" s="21" t="s">
        <v>26</v>
      </c>
      <c r="C382" s="21"/>
      <c r="D382" s="13">
        <v>13.34</v>
      </c>
      <c r="E382" s="13">
        <f>D382/359.7/12*1000</f>
        <v>3.0905384116393293</v>
      </c>
      <c r="F382" s="1">
        <f>2.4+11.1</f>
        <v>13.5</v>
      </c>
      <c r="G382" s="13">
        <f>F382/359.7/12*1000</f>
        <v>3.1276063386155135</v>
      </c>
    </row>
    <row r="383" spans="2:7" ht="12.75">
      <c r="B383" s="2"/>
      <c r="C383" s="10" t="s">
        <v>28</v>
      </c>
      <c r="D383" s="12">
        <f>D372+D373+D377+D381+D382</f>
        <v>78.72</v>
      </c>
      <c r="E383" s="12">
        <f>E372+E373+E377+E381+E382</f>
        <v>18.23742007228246</v>
      </c>
      <c r="F383" s="12">
        <f>F372+F373+F377+F381+F382</f>
        <v>115.18999999999998</v>
      </c>
      <c r="G383" s="13">
        <f>G372+G373+G377+G381+G382</f>
        <v>26.686590677416365</v>
      </c>
    </row>
    <row r="384" spans="2:7" ht="12.75">
      <c r="B384" s="2">
        <v>4</v>
      </c>
      <c r="C384" s="10" t="s">
        <v>29</v>
      </c>
      <c r="D384" s="13">
        <v>7.9</v>
      </c>
      <c r="E384" s="12">
        <v>1.81</v>
      </c>
      <c r="F384" s="12"/>
      <c r="G384" s="12"/>
    </row>
    <row r="385" spans="2:7" ht="12.75">
      <c r="B385" s="5">
        <v>5</v>
      </c>
      <c r="C385" s="10" t="s">
        <v>13</v>
      </c>
      <c r="D385" s="13">
        <f>D383+D384</f>
        <v>86.62</v>
      </c>
      <c r="E385" s="13">
        <f>E383+E384</f>
        <v>20.04742007228246</v>
      </c>
      <c r="F385" s="13">
        <f>F383-F369/1000</f>
        <v>27.49732999999999</v>
      </c>
      <c r="G385" s="13"/>
    </row>
    <row r="386" spans="2:7" ht="12.75">
      <c r="B386" s="23"/>
      <c r="C386" s="23"/>
      <c r="D386" s="25"/>
      <c r="E386" s="25"/>
      <c r="F386" s="23"/>
      <c r="G386" s="23"/>
    </row>
    <row r="387" spans="2:7" ht="12.75">
      <c r="B387" s="23"/>
      <c r="C387" s="14" t="s">
        <v>38</v>
      </c>
      <c r="D387" s="25"/>
      <c r="E387" s="25"/>
      <c r="F387" s="44">
        <v>134.9</v>
      </c>
      <c r="G387" s="23"/>
    </row>
    <row r="388" spans="2:7" ht="12.75">
      <c r="B388" s="23" t="s">
        <v>39</v>
      </c>
      <c r="C388" s="23"/>
      <c r="D388" s="23"/>
      <c r="E388" s="23"/>
      <c r="F388" s="23"/>
      <c r="G388" s="23"/>
    </row>
    <row r="390" spans="2:7" ht="12.75">
      <c r="B390" s="1" t="s">
        <v>0</v>
      </c>
      <c r="C390" s="1"/>
      <c r="D390" s="1"/>
      <c r="E390" s="1"/>
      <c r="F390" s="1"/>
      <c r="G390" s="1"/>
    </row>
    <row r="391" spans="2:7" ht="12.75">
      <c r="B391" s="1" t="s">
        <v>51</v>
      </c>
      <c r="C391" s="1"/>
      <c r="D391" s="1"/>
      <c r="E391" s="1"/>
      <c r="F391" s="1"/>
      <c r="G391" s="1"/>
    </row>
    <row r="392" spans="2:7" ht="12.75">
      <c r="B392" s="1" t="s">
        <v>72</v>
      </c>
      <c r="C392" s="1"/>
      <c r="D392" s="1"/>
      <c r="E392" s="1"/>
      <c r="F392" s="1"/>
      <c r="G392" s="1"/>
    </row>
    <row r="393" spans="2:7" ht="12.75" customHeight="1">
      <c r="B393" s="2"/>
      <c r="C393" s="2" t="s">
        <v>3</v>
      </c>
      <c r="D393" s="3" t="s">
        <v>41</v>
      </c>
      <c r="E393" s="3"/>
      <c r="F393" s="4" t="s">
        <v>5</v>
      </c>
      <c r="G393" s="4"/>
    </row>
    <row r="394" spans="2:7" ht="12.75">
      <c r="B394" s="2"/>
      <c r="C394" s="2"/>
      <c r="D394" s="3" t="s">
        <v>6</v>
      </c>
      <c r="E394" s="3" t="s">
        <v>7</v>
      </c>
      <c r="F394" s="3" t="s">
        <v>6</v>
      </c>
      <c r="G394" s="3" t="s">
        <v>8</v>
      </c>
    </row>
    <row r="395" spans="2:7" ht="12.75">
      <c r="B395" s="5">
        <v>1</v>
      </c>
      <c r="C395" s="6" t="s">
        <v>9</v>
      </c>
      <c r="D395" s="1">
        <v>373.1</v>
      </c>
      <c r="E395" s="1"/>
      <c r="F395" s="1">
        <v>373.1</v>
      </c>
      <c r="G395" s="1"/>
    </row>
    <row r="396" spans="2:7" ht="12.75">
      <c r="B396" s="5">
        <v>2</v>
      </c>
      <c r="C396" s="7" t="s">
        <v>71</v>
      </c>
      <c r="D396" s="8"/>
      <c r="E396" s="8"/>
      <c r="F396" s="8" t="s">
        <v>3</v>
      </c>
      <c r="G396" s="8"/>
    </row>
    <row r="397" spans="2:7" ht="12.75">
      <c r="B397" s="5"/>
      <c r="C397" s="2" t="s">
        <v>49</v>
      </c>
      <c r="D397" s="9"/>
      <c r="E397" s="9"/>
      <c r="F397" s="9">
        <v>89767.86</v>
      </c>
      <c r="G397" s="9"/>
    </row>
    <row r="398" spans="2:7" ht="12.75">
      <c r="B398" s="5"/>
      <c r="C398" s="2" t="s">
        <v>50</v>
      </c>
      <c r="D398" s="9"/>
      <c r="E398" s="9"/>
      <c r="F398" s="9">
        <v>68254.23</v>
      </c>
      <c r="G398" s="9"/>
    </row>
    <row r="399" spans="2:7" ht="12.75">
      <c r="B399" s="5"/>
      <c r="C399" s="2" t="s">
        <v>13</v>
      </c>
      <c r="D399" s="9"/>
      <c r="E399" s="9"/>
      <c r="F399" s="9">
        <f>F398-F397</f>
        <v>-21513.630000000005</v>
      </c>
      <c r="G399" s="9"/>
    </row>
    <row r="400" spans="2:7" ht="12.75">
      <c r="B400" s="5">
        <v>3</v>
      </c>
      <c r="C400" s="10" t="s">
        <v>14</v>
      </c>
      <c r="D400" s="1" t="s">
        <v>15</v>
      </c>
      <c r="E400" s="1"/>
      <c r="F400" s="1" t="s">
        <v>15</v>
      </c>
      <c r="G400" s="1"/>
    </row>
    <row r="401" spans="2:7" ht="12.75">
      <c r="B401" s="11" t="s">
        <v>16</v>
      </c>
      <c r="C401" s="11"/>
      <c r="D401" s="13">
        <v>12.13</v>
      </c>
      <c r="E401" s="13">
        <f>D401/373.1/12*1000</f>
        <v>2.709282587331368</v>
      </c>
      <c r="F401" s="13">
        <v>12.12</v>
      </c>
      <c r="G401" s="13">
        <f>F401/373.1/12*1000</f>
        <v>2.7070490485124625</v>
      </c>
    </row>
    <row r="402" spans="2:7" ht="12.75" customHeight="1">
      <c r="B402" s="14" t="s">
        <v>17</v>
      </c>
      <c r="C402" s="14"/>
      <c r="D402" s="1">
        <f>D403+D404+D405</f>
        <v>25.15</v>
      </c>
      <c r="E402" s="13">
        <f>D402/373.1/12*1000</f>
        <v>5.61735012954525</v>
      </c>
      <c r="F402" s="1">
        <f>F403+F404+F405</f>
        <v>26.090000000000003</v>
      </c>
      <c r="G402" s="1">
        <f>G403+G404+G405</f>
        <v>5.827302778522291</v>
      </c>
    </row>
    <row r="403" spans="2:7" ht="12.75">
      <c r="B403" s="2"/>
      <c r="C403" s="15" t="s">
        <v>18</v>
      </c>
      <c r="D403" s="16">
        <v>19.55</v>
      </c>
      <c r="E403" s="13">
        <f>D403/373.1/12*1000</f>
        <v>4.366568390958634</v>
      </c>
      <c r="F403" s="16">
        <f>7.16+1.3+11.99</f>
        <v>20.450000000000003</v>
      </c>
      <c r="G403" s="9">
        <f>F403/373.1/12*1000</f>
        <v>4.567586884660056</v>
      </c>
    </row>
    <row r="404" spans="2:7" ht="12.75">
      <c r="B404" s="2"/>
      <c r="C404" s="15" t="s">
        <v>19</v>
      </c>
      <c r="D404" s="17">
        <v>5.6</v>
      </c>
      <c r="E404" s="13">
        <f>D404/373.1/12*1000</f>
        <v>1.2507817385866165</v>
      </c>
      <c r="F404" s="17">
        <v>5.64</v>
      </c>
      <c r="G404" s="9">
        <f>F404/373.1/12*1000</f>
        <v>1.259715893862235</v>
      </c>
    </row>
    <row r="405" spans="2:7" ht="12.75">
      <c r="B405" s="32" t="s">
        <v>20</v>
      </c>
      <c r="C405" s="32"/>
      <c r="D405" s="18">
        <v>0</v>
      </c>
      <c r="E405" s="13">
        <f>D405/373.1/12*1000</f>
        <v>0</v>
      </c>
      <c r="F405" s="18">
        <v>0</v>
      </c>
      <c r="G405" s="9">
        <f>F405/373.1/12*1000</f>
        <v>0</v>
      </c>
    </row>
    <row r="406" spans="2:7" ht="12.75" customHeight="1">
      <c r="B406" s="19" t="s">
        <v>21</v>
      </c>
      <c r="C406" s="19"/>
      <c r="D406" s="13">
        <f>D407+D409+D408</f>
        <v>27.98</v>
      </c>
      <c r="E406" s="13">
        <f>E407+E409+E408</f>
        <v>6.249441615295274</v>
      </c>
      <c r="F406" s="13">
        <f>F407+F409+F408</f>
        <v>30.320000000000004</v>
      </c>
      <c r="G406" s="13">
        <f>G407+G409+G408</f>
        <v>6.772089698918967</v>
      </c>
    </row>
    <row r="407" spans="2:7" ht="12.75">
      <c r="B407" s="2"/>
      <c r="C407" s="15" t="s">
        <v>22</v>
      </c>
      <c r="D407" s="9">
        <v>23.46</v>
      </c>
      <c r="E407" s="13">
        <f>D407/373.1/12*1000</f>
        <v>5.239882069150362</v>
      </c>
      <c r="F407" s="8">
        <f>16.73+5.1+0.73+2.26+0.3+3.1+1.5+0.04+0.26</f>
        <v>30.020000000000003</v>
      </c>
      <c r="G407" s="9">
        <f>F407/373.1/12*1000</f>
        <v>6.705083534351827</v>
      </c>
    </row>
    <row r="408" spans="2:7" ht="12.75">
      <c r="B408" s="2"/>
      <c r="C408" s="15" t="s">
        <v>23</v>
      </c>
      <c r="D408" s="9">
        <v>4.16</v>
      </c>
      <c r="E408" s="13">
        <f>D408/373.1/12*1000</f>
        <v>0.9291521486643438</v>
      </c>
      <c r="F408" s="9">
        <v>0.30000000000000004</v>
      </c>
      <c r="G408" s="9">
        <f>F408/373.1/12*1000</f>
        <v>0.06700616456714019</v>
      </c>
    </row>
    <row r="409" spans="2:7" ht="12.75">
      <c r="B409" s="2"/>
      <c r="C409" s="20" t="s">
        <v>24</v>
      </c>
      <c r="D409" s="9">
        <v>0.36</v>
      </c>
      <c r="E409" s="13">
        <f>D409/373.1/12*1000</f>
        <v>0.0804073974805682</v>
      </c>
      <c r="F409" s="9">
        <v>0</v>
      </c>
      <c r="G409" s="9">
        <f>F409/373.1/12*1000</f>
        <v>0</v>
      </c>
    </row>
    <row r="410" spans="2:7" ht="12.75">
      <c r="B410" s="11" t="s">
        <v>25</v>
      </c>
      <c r="C410" s="11"/>
      <c r="D410" s="13">
        <v>2.64</v>
      </c>
      <c r="E410" s="13">
        <f>D410/373.1/12*1000</f>
        <v>0.5896542481908336</v>
      </c>
      <c r="F410" s="13">
        <v>2.05</v>
      </c>
      <c r="G410" s="9">
        <f>F410/373.1/12*1000</f>
        <v>0.4578754578754578</v>
      </c>
    </row>
    <row r="411" spans="2:7" ht="12.75">
      <c r="B411" s="21" t="s">
        <v>26</v>
      </c>
      <c r="C411" s="21"/>
      <c r="D411" s="13">
        <v>13.83</v>
      </c>
      <c r="E411" s="13">
        <f>D411/373.1/12*1000</f>
        <v>3.088984186545162</v>
      </c>
      <c r="F411" s="1">
        <f>2.5+11.5</f>
        <v>14</v>
      </c>
      <c r="G411" s="9">
        <f>F411/373.1/12*1000</f>
        <v>3.1269543464665412</v>
      </c>
    </row>
    <row r="412" spans="2:7" ht="12.75">
      <c r="B412" s="2"/>
      <c r="C412" s="10" t="s">
        <v>28</v>
      </c>
      <c r="D412" s="12">
        <f>D401+D402+D406+D410+D411</f>
        <v>81.73</v>
      </c>
      <c r="E412" s="12">
        <f>E401+E402+E406+E410+E411</f>
        <v>18.254712766907886</v>
      </c>
      <c r="F412" s="12">
        <f>F401+F402+F406+F410+F411</f>
        <v>84.58</v>
      </c>
      <c r="G412" s="13">
        <f>G401+G402+G406+G410+G411</f>
        <v>18.89127133029572</v>
      </c>
    </row>
    <row r="413" spans="2:7" ht="12.75">
      <c r="B413" s="2">
        <v>4</v>
      </c>
      <c r="C413" s="10" t="s">
        <v>29</v>
      </c>
      <c r="D413" s="13">
        <v>8.17</v>
      </c>
      <c r="E413" s="12">
        <v>1.8</v>
      </c>
      <c r="F413" s="12"/>
      <c r="G413" s="12"/>
    </row>
    <row r="414" spans="2:7" ht="12.75">
      <c r="B414" s="5">
        <v>5</v>
      </c>
      <c r="C414" s="10" t="s">
        <v>13</v>
      </c>
      <c r="D414" s="13">
        <f>D412+D413</f>
        <v>89.9</v>
      </c>
      <c r="E414" s="13">
        <f>E412+E413</f>
        <v>20.054712766907887</v>
      </c>
      <c r="F414" s="13">
        <f>F412-F398/1000</f>
        <v>16.325770000000006</v>
      </c>
      <c r="G414" s="13"/>
    </row>
    <row r="415" spans="2:7" ht="12.75">
      <c r="B415" s="23"/>
      <c r="C415" s="23"/>
      <c r="D415" s="25"/>
      <c r="E415" s="25"/>
      <c r="F415" s="23"/>
      <c r="G415" s="23"/>
    </row>
    <row r="416" spans="2:7" ht="12.75">
      <c r="B416" s="23"/>
      <c r="C416" s="14" t="s">
        <v>38</v>
      </c>
      <c r="D416" s="25"/>
      <c r="E416" s="25"/>
      <c r="F416" s="5">
        <v>99.7</v>
      </c>
      <c r="G416" s="23"/>
    </row>
    <row r="417" spans="2:7" ht="12.75">
      <c r="B417" s="23" t="s">
        <v>39</v>
      </c>
      <c r="C417" s="23"/>
      <c r="D417" s="23"/>
      <c r="E417" s="23"/>
      <c r="F417" s="23"/>
      <c r="G417" s="23"/>
    </row>
    <row r="419" spans="2:7" ht="12.75">
      <c r="B419" s="1" t="s">
        <v>0</v>
      </c>
      <c r="C419" s="1"/>
      <c r="D419" s="1"/>
      <c r="E419" s="1"/>
      <c r="F419" s="1"/>
      <c r="G419" s="1"/>
    </row>
    <row r="420" spans="2:7" ht="12.75">
      <c r="B420" s="1" t="s">
        <v>51</v>
      </c>
      <c r="C420" s="1"/>
      <c r="D420" s="1"/>
      <c r="E420" s="1"/>
      <c r="F420" s="1"/>
      <c r="G420" s="1"/>
    </row>
    <row r="421" spans="2:7" ht="12.75">
      <c r="B421" s="1" t="s">
        <v>73</v>
      </c>
      <c r="C421" s="1"/>
      <c r="D421" s="1"/>
      <c r="E421" s="1"/>
      <c r="F421" s="1"/>
      <c r="G421" s="1"/>
    </row>
    <row r="422" spans="2:7" ht="12.75" customHeight="1">
      <c r="B422" s="2"/>
      <c r="C422" s="2" t="s">
        <v>3</v>
      </c>
      <c r="D422" s="3" t="s">
        <v>41</v>
      </c>
      <c r="E422" s="3"/>
      <c r="F422" s="4" t="s">
        <v>5</v>
      </c>
      <c r="G422" s="4"/>
    </row>
    <row r="423" spans="2:7" ht="12.75">
      <c r="B423" s="2"/>
      <c r="C423" s="2"/>
      <c r="D423" s="3" t="s">
        <v>6</v>
      </c>
      <c r="E423" s="3" t="s">
        <v>7</v>
      </c>
      <c r="F423" s="3" t="s">
        <v>6</v>
      </c>
      <c r="G423" s="3" t="s">
        <v>8</v>
      </c>
    </row>
    <row r="424" spans="2:7" ht="12.75">
      <c r="B424" s="5">
        <v>1</v>
      </c>
      <c r="C424" s="6" t="s">
        <v>9</v>
      </c>
      <c r="D424" s="1">
        <v>841.2</v>
      </c>
      <c r="E424" s="1"/>
      <c r="F424" s="1">
        <v>841.2</v>
      </c>
      <c r="G424" s="1"/>
    </row>
    <row r="425" spans="2:7" ht="12.75">
      <c r="B425" s="5">
        <v>2</v>
      </c>
      <c r="C425" s="7" t="s">
        <v>74</v>
      </c>
      <c r="D425" s="8"/>
      <c r="E425" s="8"/>
      <c r="F425" s="8" t="s">
        <v>3</v>
      </c>
      <c r="G425" s="8"/>
    </row>
    <row r="426" spans="2:7" ht="12.75">
      <c r="B426" s="5"/>
      <c r="C426" s="2" t="s">
        <v>49</v>
      </c>
      <c r="D426" s="9"/>
      <c r="E426" s="9"/>
      <c r="F426" s="9">
        <v>202392.72</v>
      </c>
      <c r="G426" s="9"/>
    </row>
    <row r="427" spans="2:7" ht="12.75">
      <c r="B427" s="5"/>
      <c r="C427" s="2" t="s">
        <v>50</v>
      </c>
      <c r="D427" s="9"/>
      <c r="E427" s="9"/>
      <c r="F427" s="9">
        <v>200271.35</v>
      </c>
      <c r="G427" s="9"/>
    </row>
    <row r="428" spans="2:7" ht="12.75">
      <c r="B428" s="5"/>
      <c r="C428" s="2" t="s">
        <v>13</v>
      </c>
      <c r="D428" s="9"/>
      <c r="E428" s="9"/>
      <c r="F428" s="9">
        <f>F427-F426</f>
        <v>-2121.3699999999953</v>
      </c>
      <c r="G428" s="9"/>
    </row>
    <row r="429" spans="2:7" ht="12.75">
      <c r="B429" s="5">
        <v>3</v>
      </c>
      <c r="C429" s="10" t="s">
        <v>14</v>
      </c>
      <c r="D429" s="1" t="s">
        <v>15</v>
      </c>
      <c r="E429" s="1"/>
      <c r="F429" s="1" t="s">
        <v>15</v>
      </c>
      <c r="G429" s="1"/>
    </row>
    <row r="430" spans="2:7" ht="12.75">
      <c r="B430" s="11" t="s">
        <v>16</v>
      </c>
      <c r="C430" s="11"/>
      <c r="D430" s="13">
        <v>27.36</v>
      </c>
      <c r="E430" s="13">
        <f>D430/841.2/12*1000</f>
        <v>2.710413694721826</v>
      </c>
      <c r="F430" s="13">
        <v>27.32</v>
      </c>
      <c r="G430" s="13">
        <f>F430/841.2/12*1000</f>
        <v>2.7064511016008876</v>
      </c>
    </row>
    <row r="431" spans="2:7" ht="12.75" customHeight="1">
      <c r="B431" s="14" t="s">
        <v>17</v>
      </c>
      <c r="C431" s="14"/>
      <c r="D431" s="1">
        <f>D432+D433+D434</f>
        <v>56.47</v>
      </c>
      <c r="E431" s="13">
        <f>D431/841.2/12*1000</f>
        <v>5.594190838484704</v>
      </c>
      <c r="F431" s="1">
        <f>F432+F433+F434</f>
        <v>71.41</v>
      </c>
      <c r="G431" s="1">
        <f>G432+G433+G434</f>
        <v>7.074219369155174</v>
      </c>
    </row>
    <row r="432" spans="2:7" ht="12.75">
      <c r="B432" s="2"/>
      <c r="C432" s="15" t="s">
        <v>18</v>
      </c>
      <c r="D432" s="16">
        <v>43.97</v>
      </c>
      <c r="E432" s="13">
        <f>D432/841.2/12*1000</f>
        <v>4.355880488191472</v>
      </c>
      <c r="F432" s="16">
        <f>16.15+6.1+27.02</f>
        <v>49.269999999999996</v>
      </c>
      <c r="G432" s="9">
        <f>F432/841.2/12*1000</f>
        <v>4.880924076715802</v>
      </c>
    </row>
    <row r="433" spans="2:7" ht="12.75">
      <c r="B433" s="2"/>
      <c r="C433" s="15" t="s">
        <v>19</v>
      </c>
      <c r="D433" s="17">
        <v>12.5</v>
      </c>
      <c r="E433" s="13">
        <f>D433/841.2/12*1000</f>
        <v>1.2383103502932318</v>
      </c>
      <c r="F433" s="17">
        <v>19.34</v>
      </c>
      <c r="G433" s="9">
        <f>F433/841.2/12*1000</f>
        <v>1.9159137739736882</v>
      </c>
    </row>
    <row r="434" spans="2:7" ht="12.75">
      <c r="B434" s="32" t="s">
        <v>20</v>
      </c>
      <c r="C434" s="32"/>
      <c r="D434" s="18">
        <v>0</v>
      </c>
      <c r="E434" s="13">
        <f>D434/841.2/12*1000</f>
        <v>0</v>
      </c>
      <c r="F434" s="18">
        <v>2.8</v>
      </c>
      <c r="G434" s="9">
        <f>F434/841.2/12*1000</f>
        <v>0.2773815184656839</v>
      </c>
    </row>
    <row r="435" spans="2:7" ht="12.75" customHeight="1">
      <c r="B435" s="19" t="s">
        <v>21</v>
      </c>
      <c r="C435" s="19"/>
      <c r="D435" s="13">
        <f>D436+D438+D437</f>
        <v>63.099999999999994</v>
      </c>
      <c r="E435" s="13">
        <f>E436+E438+E437</f>
        <v>6.250990648280235</v>
      </c>
      <c r="F435" s="13">
        <f>F436+F438+F437</f>
        <v>63.28</v>
      </c>
      <c r="G435" s="13">
        <f>G436+G438+G437</f>
        <v>6.268822317324457</v>
      </c>
    </row>
    <row r="436" spans="2:7" ht="12.75">
      <c r="B436" s="2"/>
      <c r="C436" s="15" t="s">
        <v>22</v>
      </c>
      <c r="D436" s="9">
        <v>52.9</v>
      </c>
      <c r="E436" s="13">
        <f>D436/841.2/12*1000</f>
        <v>5.240529402440957</v>
      </c>
      <c r="F436" s="8">
        <f>37.7+11.5+1.65+5.09+0.68+0.8+3.08+0.09+0.59</f>
        <v>61.18</v>
      </c>
      <c r="G436" s="9">
        <f>F436/841.2/12*1000</f>
        <v>6.060786178475194</v>
      </c>
    </row>
    <row r="437" spans="2:7" ht="12.75">
      <c r="B437" s="2"/>
      <c r="C437" s="15" t="s">
        <v>23</v>
      </c>
      <c r="D437" s="9">
        <v>9.4</v>
      </c>
      <c r="E437" s="13">
        <f>D437/841.2/12*1000</f>
        <v>0.9312093834205103</v>
      </c>
      <c r="F437" s="9">
        <v>2.1</v>
      </c>
      <c r="G437" s="9">
        <f>F437/841.2/12*1000</f>
        <v>0.20803613884926295</v>
      </c>
    </row>
    <row r="438" spans="2:7" ht="12.75">
      <c r="B438" s="2"/>
      <c r="C438" s="20" t="s">
        <v>24</v>
      </c>
      <c r="D438" s="9">
        <v>0.8</v>
      </c>
      <c r="E438" s="13">
        <f>D438/841.2/12*1000</f>
        <v>0.07925186241876685</v>
      </c>
      <c r="F438" s="9">
        <v>0</v>
      </c>
      <c r="G438" s="9">
        <f>F438/841.2/12*1000</f>
        <v>0</v>
      </c>
    </row>
    <row r="439" spans="2:7" ht="12.75">
      <c r="B439" s="11" t="s">
        <v>25</v>
      </c>
      <c r="C439" s="11"/>
      <c r="D439" s="13">
        <v>5.96</v>
      </c>
      <c r="E439" s="13">
        <f>D439/841.2/12*1000</f>
        <v>0.590426375019813</v>
      </c>
      <c r="F439" s="13">
        <v>6</v>
      </c>
      <c r="G439" s="9">
        <f>F439/841.2/12*1000</f>
        <v>0.5943889681407513</v>
      </c>
    </row>
    <row r="440" spans="2:7" ht="12.75">
      <c r="B440" s="21" t="s">
        <v>26</v>
      </c>
      <c r="C440" s="21"/>
      <c r="D440" s="13">
        <v>31.2</v>
      </c>
      <c r="E440" s="13">
        <f>D440/841.2/12*1000</f>
        <v>3.0908226343319063</v>
      </c>
      <c r="F440" s="1">
        <f>5.65+25.9</f>
        <v>31.549999999999997</v>
      </c>
      <c r="G440" s="9">
        <f>F440/841.2/12*1000</f>
        <v>3.125495324140117</v>
      </c>
    </row>
    <row r="441" spans="2:7" ht="12.75">
      <c r="B441" s="2"/>
      <c r="C441" s="10" t="s">
        <v>28</v>
      </c>
      <c r="D441" s="12">
        <f>D430+D431+D435+D439+D440</f>
        <v>184.09</v>
      </c>
      <c r="E441" s="12">
        <f>E430+E431+E435+E439+E440</f>
        <v>18.236844190838482</v>
      </c>
      <c r="F441" s="12">
        <f>F430+F431+F435+F439+F440</f>
        <v>199.56</v>
      </c>
      <c r="G441" s="13">
        <f>G430+G431+G435+G439+G440</f>
        <v>19.76937708036139</v>
      </c>
    </row>
    <row r="442" spans="2:7" ht="12.75">
      <c r="B442" s="2">
        <v>4</v>
      </c>
      <c r="C442" s="10" t="s">
        <v>29</v>
      </c>
      <c r="D442" s="13">
        <v>18.4</v>
      </c>
      <c r="E442" s="12">
        <v>1.81</v>
      </c>
      <c r="F442" s="12"/>
      <c r="G442" s="12"/>
    </row>
    <row r="443" spans="2:7" ht="12.75">
      <c r="B443" s="5">
        <v>5</v>
      </c>
      <c r="C443" s="10" t="s">
        <v>13</v>
      </c>
      <c r="D443" s="13">
        <f>D441+D442</f>
        <v>202.49</v>
      </c>
      <c r="E443" s="13">
        <f>E441+E442</f>
        <v>20.04684419083848</v>
      </c>
      <c r="F443" s="13">
        <f>F441-F427/1000</f>
        <v>-0.7113500000000101</v>
      </c>
      <c r="G443" s="13"/>
    </row>
    <row r="444" spans="2:7" ht="12.75">
      <c r="B444" s="23"/>
      <c r="C444" s="14" t="s">
        <v>38</v>
      </c>
      <c r="D444" s="25"/>
      <c r="E444" s="25"/>
      <c r="F444" s="27">
        <v>275.4</v>
      </c>
      <c r="G444" s="23"/>
    </row>
    <row r="445" spans="2:7" ht="12.75">
      <c r="B445" s="23" t="s">
        <v>39</v>
      </c>
      <c r="C445" s="23"/>
      <c r="D445" s="23"/>
      <c r="E445" s="23"/>
      <c r="F445" s="23"/>
      <c r="G445" s="23"/>
    </row>
    <row r="448" spans="2:7" ht="12.75">
      <c r="B448" s="1" t="s">
        <v>0</v>
      </c>
      <c r="C448" s="1"/>
      <c r="D448" s="1"/>
      <c r="E448" s="1"/>
      <c r="F448" s="1"/>
      <c r="G448" s="1"/>
    </row>
    <row r="449" spans="2:7" ht="12.75">
      <c r="B449" s="1" t="s">
        <v>51</v>
      </c>
      <c r="C449" s="1"/>
      <c r="D449" s="1"/>
      <c r="E449" s="1"/>
      <c r="F449" s="1"/>
      <c r="G449" s="1"/>
    </row>
    <row r="450" spans="2:7" ht="12.75">
      <c r="B450" s="1" t="s">
        <v>75</v>
      </c>
      <c r="C450" s="1"/>
      <c r="D450" s="1"/>
      <c r="E450" s="1"/>
      <c r="F450" s="1"/>
      <c r="G450" s="1"/>
    </row>
    <row r="451" spans="2:7" ht="12.75" customHeight="1">
      <c r="B451" s="2"/>
      <c r="C451" s="2" t="s">
        <v>3</v>
      </c>
      <c r="D451" s="3" t="s">
        <v>41</v>
      </c>
      <c r="E451" s="3"/>
      <c r="F451" s="4" t="s">
        <v>5</v>
      </c>
      <c r="G451" s="4"/>
    </row>
    <row r="452" spans="2:7" ht="12.75">
      <c r="B452" s="2"/>
      <c r="C452" s="2"/>
      <c r="D452" s="3" t="s">
        <v>6</v>
      </c>
      <c r="E452" s="3" t="s">
        <v>7</v>
      </c>
      <c r="F452" s="3" t="s">
        <v>6</v>
      </c>
      <c r="G452" s="3" t="s">
        <v>8</v>
      </c>
    </row>
    <row r="453" spans="2:7" ht="12.75">
      <c r="B453" s="5">
        <v>1</v>
      </c>
      <c r="C453" s="6" t="s">
        <v>9</v>
      </c>
      <c r="D453" s="1">
        <v>2165.7</v>
      </c>
      <c r="E453" s="1"/>
      <c r="F453" s="1">
        <v>2165.7</v>
      </c>
      <c r="G453" s="1"/>
    </row>
    <row r="454" spans="2:7" ht="12.75">
      <c r="B454" s="5">
        <v>2</v>
      </c>
      <c r="C454" s="7" t="s">
        <v>10</v>
      </c>
      <c r="D454" s="8"/>
      <c r="E454" s="8"/>
      <c r="F454" s="8" t="s">
        <v>3</v>
      </c>
      <c r="G454" s="8"/>
    </row>
    <row r="455" spans="2:7" ht="12.75">
      <c r="B455" s="5"/>
      <c r="C455" s="6" t="s">
        <v>11</v>
      </c>
      <c r="D455" s="9"/>
      <c r="E455" s="9"/>
      <c r="F455" s="9">
        <v>542638.62</v>
      </c>
      <c r="G455" s="9"/>
    </row>
    <row r="456" spans="2:7" ht="12.75">
      <c r="B456" s="5"/>
      <c r="C456" s="2" t="s">
        <v>12</v>
      </c>
      <c r="D456" s="9"/>
      <c r="E456" s="9"/>
      <c r="F456" s="9">
        <v>541036.11</v>
      </c>
      <c r="G456" s="9"/>
    </row>
    <row r="457" spans="2:7" ht="12.75">
      <c r="B457" s="5"/>
      <c r="C457" s="2" t="s">
        <v>13</v>
      </c>
      <c r="D457" s="9"/>
      <c r="E457" s="9"/>
      <c r="F457" s="9">
        <f>F456-F455</f>
        <v>-1602.5100000000093</v>
      </c>
      <c r="G457" s="9"/>
    </row>
    <row r="458" spans="2:7" ht="12.75">
      <c r="B458" s="5">
        <v>3</v>
      </c>
      <c r="C458" s="10" t="s">
        <v>14</v>
      </c>
      <c r="D458" s="1" t="s">
        <v>15</v>
      </c>
      <c r="E458" s="1"/>
      <c r="F458" s="1" t="s">
        <v>15</v>
      </c>
      <c r="G458" s="1"/>
    </row>
    <row r="459" spans="2:7" ht="12.75">
      <c r="B459" s="11" t="s">
        <v>16</v>
      </c>
      <c r="C459" s="11"/>
      <c r="D459" s="13">
        <v>70.4</v>
      </c>
      <c r="E459" s="13">
        <f>D459/2165.7/12*1000</f>
        <v>2.708900894245125</v>
      </c>
      <c r="F459" s="13">
        <v>73.3</v>
      </c>
      <c r="G459" s="13">
        <f>F459/2165.7/12*1000</f>
        <v>2.8204891413091993</v>
      </c>
    </row>
    <row r="460" spans="2:7" ht="12.75" customHeight="1">
      <c r="B460" s="14" t="s">
        <v>17</v>
      </c>
      <c r="C460" s="14"/>
      <c r="D460" s="1">
        <f>D461+D462+D463</f>
        <v>145.39999999999998</v>
      </c>
      <c r="E460" s="13">
        <f>D460/2165.7/12*1000</f>
        <v>5.594803835557403</v>
      </c>
      <c r="F460" s="1">
        <f>F461+F462+F463</f>
        <v>236.55</v>
      </c>
      <c r="G460" s="1">
        <f>G461+G462+G463</f>
        <v>9.102137876898924</v>
      </c>
    </row>
    <row r="461" spans="2:7" ht="12.75">
      <c r="B461" s="2"/>
      <c r="C461" s="15" t="s">
        <v>18</v>
      </c>
      <c r="D461" s="9">
        <v>113.1</v>
      </c>
      <c r="E461" s="13">
        <f>D461/2165.7/12*1000</f>
        <v>4.351941635498915</v>
      </c>
      <c r="F461" s="9">
        <f>41.58+2.99+69.58</f>
        <v>114.15</v>
      </c>
      <c r="G461" s="9">
        <f>F461/2165.7/12*1000</f>
        <v>4.392344276677287</v>
      </c>
    </row>
    <row r="462" spans="2:7" ht="12.75">
      <c r="B462" s="2"/>
      <c r="C462" s="15" t="s">
        <v>19</v>
      </c>
      <c r="D462" s="17">
        <v>32.3</v>
      </c>
      <c r="E462" s="13">
        <f>D462/2165.7/12*1000</f>
        <v>1.2428622000584877</v>
      </c>
      <c r="F462" s="18">
        <v>121</v>
      </c>
      <c r="G462" s="9">
        <f>F462/2165.7/12*1000</f>
        <v>4.655923411983808</v>
      </c>
    </row>
    <row r="463" spans="2:7" ht="12.75">
      <c r="B463" s="32" t="s">
        <v>20</v>
      </c>
      <c r="C463" s="32"/>
      <c r="D463" s="18">
        <v>0</v>
      </c>
      <c r="E463" s="13">
        <f>D463/2165.7/12*1000</f>
        <v>0</v>
      </c>
      <c r="F463" s="18">
        <v>1.4</v>
      </c>
      <c r="G463" s="9">
        <f>F463/2165.7/12*1000</f>
        <v>0.053870188237829186</v>
      </c>
    </row>
    <row r="464" spans="2:7" ht="12.75" customHeight="1">
      <c r="B464" s="19" t="s">
        <v>21</v>
      </c>
      <c r="C464" s="19"/>
      <c r="D464" s="13">
        <f>D465+D467+D466</f>
        <v>162.43</v>
      </c>
      <c r="E464" s="13">
        <f>E465+E467+E466</f>
        <v>6.25009619676471</v>
      </c>
      <c r="F464" s="13">
        <f>F465+F467+F466</f>
        <v>168.48</v>
      </c>
      <c r="G464" s="13">
        <f>G465+G467+G466</f>
        <v>6.482892367363902</v>
      </c>
    </row>
    <row r="465" spans="2:7" ht="12.75">
      <c r="B465" s="2"/>
      <c r="C465" s="15" t="s">
        <v>22</v>
      </c>
      <c r="D465" s="9">
        <v>136.18</v>
      </c>
      <c r="E465" s="13">
        <f>D465/2165.7/12*1000</f>
        <v>5.240030167305413</v>
      </c>
      <c r="F465" s="8">
        <f>97.11+29.62+4.25+13.1+1.76+7.36+4.48+0.22+1.5</f>
        <v>159.4</v>
      </c>
      <c r="G465" s="9">
        <f>F465/2165.7/12*1000</f>
        <v>6.133505717935695</v>
      </c>
    </row>
    <row r="466" spans="2:7" ht="12.75">
      <c r="B466" s="2"/>
      <c r="C466" s="15" t="s">
        <v>23</v>
      </c>
      <c r="D466" s="9">
        <v>24.17</v>
      </c>
      <c r="E466" s="13">
        <f>D466/2165.7/12*1000</f>
        <v>0.9300303212202368</v>
      </c>
      <c r="F466" s="9">
        <v>5.42</v>
      </c>
      <c r="G466" s="9">
        <f>F466/2165.7/12*1000</f>
        <v>0.20855458589216727</v>
      </c>
    </row>
    <row r="467" spans="2:7" ht="12.75">
      <c r="B467" s="2"/>
      <c r="C467" s="20" t="s">
        <v>24</v>
      </c>
      <c r="D467" s="9">
        <v>2.08</v>
      </c>
      <c r="E467" s="13">
        <f>D467/2165.7/12*1000</f>
        <v>0.08003570823906052</v>
      </c>
      <c r="F467" s="9">
        <v>3.66</v>
      </c>
      <c r="G467" s="9">
        <f>F467/2165.7/12*1000</f>
        <v>0.14083206353603916</v>
      </c>
    </row>
    <row r="468" spans="2:7" ht="12.75">
      <c r="B468" s="2"/>
      <c r="C468" s="22" t="s">
        <v>27</v>
      </c>
      <c r="D468" s="9">
        <v>0</v>
      </c>
      <c r="E468" s="13">
        <f>D468/2165.7/12*1000</f>
        <v>0</v>
      </c>
      <c r="F468" s="9">
        <v>21.57</v>
      </c>
      <c r="G468" s="9">
        <f>F468/2165.7/12*1000</f>
        <v>0.8299856859214112</v>
      </c>
    </row>
    <row r="469" spans="2:7" ht="12.75">
      <c r="B469" s="11" t="s">
        <v>25</v>
      </c>
      <c r="C469" s="11"/>
      <c r="D469" s="13">
        <v>15.33</v>
      </c>
      <c r="E469" s="13">
        <f>D469/2165.7/12*1000</f>
        <v>0.5898785612042297</v>
      </c>
      <c r="F469" s="13">
        <v>16.1</v>
      </c>
      <c r="G469" s="9">
        <f>F469/2165.7/12*1000</f>
        <v>0.6195071647350358</v>
      </c>
    </row>
    <row r="470" spans="2:7" ht="12.75">
      <c r="B470" s="21" t="s">
        <v>26</v>
      </c>
      <c r="C470" s="21"/>
      <c r="D470" s="13">
        <v>80.3</v>
      </c>
      <c r="E470" s="13">
        <f>D470/2165.7/12*1000</f>
        <v>3.089840082498345</v>
      </c>
      <c r="F470" s="1">
        <f>14.55+66.8</f>
        <v>81.35</v>
      </c>
      <c r="G470" s="9">
        <f>F470/2165.7/12*1000</f>
        <v>3.1302427236767176</v>
      </c>
    </row>
    <row r="471" spans="2:7" ht="12.75">
      <c r="B471" s="2"/>
      <c r="C471" s="10" t="s">
        <v>28</v>
      </c>
      <c r="D471" s="12">
        <f>D459+D460+D464+D469+D470</f>
        <v>473.86</v>
      </c>
      <c r="E471" s="12">
        <f>E459+E460+E464+E469+E470</f>
        <v>18.233519570269813</v>
      </c>
      <c r="F471" s="12">
        <f>F459+F460+F464+F469+F470+F468</f>
        <v>597.3500000000001</v>
      </c>
      <c r="G471" s="13">
        <f>G459+G460+G464+G469+G470+G468</f>
        <v>22.985254959905188</v>
      </c>
    </row>
    <row r="472" spans="2:7" ht="12.75">
      <c r="B472" s="2">
        <v>4</v>
      </c>
      <c r="C472" s="10" t="s">
        <v>29</v>
      </c>
      <c r="D472" s="13">
        <v>47.4</v>
      </c>
      <c r="E472" s="12">
        <v>1.82</v>
      </c>
      <c r="F472" s="12"/>
      <c r="G472" s="12"/>
    </row>
    <row r="473" spans="2:7" ht="12.75">
      <c r="B473" s="5">
        <v>5</v>
      </c>
      <c r="C473" s="10" t="s">
        <v>13</v>
      </c>
      <c r="D473" s="13">
        <f>D471+D472</f>
        <v>521.26</v>
      </c>
      <c r="E473" s="13">
        <f>E471+E472</f>
        <v>20.053519570269813</v>
      </c>
      <c r="F473" s="13">
        <f>F471-F456/1000</f>
        <v>56.31389000000013</v>
      </c>
      <c r="G473" s="13"/>
    </row>
    <row r="474" spans="2:7" ht="12.75">
      <c r="B474" s="23"/>
      <c r="C474" s="23"/>
      <c r="D474" s="25"/>
      <c r="E474" s="25"/>
      <c r="F474" s="23"/>
      <c r="G474" s="23"/>
    </row>
    <row r="475" spans="2:7" ht="12.75">
      <c r="B475" s="11" t="s">
        <v>30</v>
      </c>
      <c r="C475" s="11"/>
      <c r="D475" s="33" t="s">
        <v>6</v>
      </c>
      <c r="E475" s="25"/>
      <c r="F475" s="25"/>
      <c r="G475" s="25"/>
    </row>
    <row r="476" spans="2:7" ht="12.75">
      <c r="B476" s="25"/>
      <c r="C476" s="34" t="s">
        <v>31</v>
      </c>
      <c r="D476" s="35">
        <v>10763.99</v>
      </c>
      <c r="E476" s="25"/>
      <c r="F476" s="25"/>
      <c r="G476" s="25"/>
    </row>
    <row r="477" spans="2:7" ht="12.75">
      <c r="B477" s="5"/>
      <c r="C477" s="23" t="s">
        <v>32</v>
      </c>
      <c r="D477" s="35">
        <v>8746.98</v>
      </c>
      <c r="E477" s="25"/>
      <c r="F477" s="25"/>
      <c r="G477" s="25"/>
    </row>
    <row r="478" spans="2:7" ht="12.75">
      <c r="B478" s="5"/>
      <c r="C478" s="36" t="s">
        <v>13</v>
      </c>
      <c r="D478" s="33">
        <f>D477-D476</f>
        <v>-2017.0100000000002</v>
      </c>
      <c r="E478" s="25"/>
      <c r="F478" s="25"/>
      <c r="G478" s="25"/>
    </row>
    <row r="479" spans="2:7" ht="12.75">
      <c r="B479" s="5"/>
      <c r="C479" s="34" t="s">
        <v>33</v>
      </c>
      <c r="D479" s="35">
        <v>15788.4</v>
      </c>
      <c r="E479" s="25"/>
      <c r="F479" s="25"/>
      <c r="G479" s="25"/>
    </row>
    <row r="480" spans="2:7" ht="12.75">
      <c r="B480" s="5"/>
      <c r="C480" s="23" t="s">
        <v>34</v>
      </c>
      <c r="D480" s="35">
        <v>13293</v>
      </c>
      <c r="E480" s="25"/>
      <c r="F480" s="25"/>
      <c r="G480" s="25"/>
    </row>
    <row r="481" spans="2:7" ht="12.75">
      <c r="B481" s="5"/>
      <c r="C481" s="36" t="s">
        <v>13</v>
      </c>
      <c r="D481" s="33">
        <f>D480-D479</f>
        <v>-2495.3999999999996</v>
      </c>
      <c r="E481" s="25"/>
      <c r="F481" s="25"/>
      <c r="G481" s="25"/>
    </row>
    <row r="482" spans="2:7" ht="12.75">
      <c r="B482" s="5"/>
      <c r="C482" s="34" t="s">
        <v>76</v>
      </c>
      <c r="D482" s="35">
        <v>19189.16</v>
      </c>
      <c r="E482" s="25"/>
      <c r="F482" s="25"/>
      <c r="G482" s="25"/>
    </row>
    <row r="483" spans="2:7" ht="12.75">
      <c r="B483" s="5"/>
      <c r="C483" s="23" t="s">
        <v>77</v>
      </c>
      <c r="D483" s="35">
        <v>17443.14</v>
      </c>
      <c r="E483" s="25"/>
      <c r="F483" s="25"/>
      <c r="G483" s="25"/>
    </row>
    <row r="484" spans="2:7" ht="12.75">
      <c r="B484" s="5"/>
      <c r="C484" s="36" t="s">
        <v>13</v>
      </c>
      <c r="D484" s="33">
        <f>D483-D482</f>
        <v>-1746.0200000000004</v>
      </c>
      <c r="E484" s="25"/>
      <c r="F484" s="25"/>
      <c r="G484" s="25"/>
    </row>
    <row r="485" spans="2:7" ht="12.75">
      <c r="B485" s="5"/>
      <c r="C485" s="34" t="s">
        <v>42</v>
      </c>
      <c r="D485" s="35">
        <v>7493.44</v>
      </c>
      <c r="E485" s="25"/>
      <c r="F485" s="25"/>
      <c r="G485" s="25"/>
    </row>
    <row r="486" spans="2:7" ht="12.75">
      <c r="B486" s="5"/>
      <c r="C486" s="23" t="s">
        <v>43</v>
      </c>
      <c r="D486" s="35">
        <v>5662.39</v>
      </c>
      <c r="E486" s="25"/>
      <c r="F486" s="25"/>
      <c r="G486" s="25"/>
    </row>
    <row r="487" spans="2:7" ht="12.75">
      <c r="B487" s="5"/>
      <c r="C487" s="36" t="s">
        <v>13</v>
      </c>
      <c r="D487" s="33">
        <f>D486-D485</f>
        <v>-1831.0499999999993</v>
      </c>
      <c r="E487" s="25"/>
      <c r="F487" s="25"/>
      <c r="G487" s="25"/>
    </row>
    <row r="488" spans="2:7" ht="12.75">
      <c r="B488" s="11"/>
      <c r="C488" s="11" t="s">
        <v>35</v>
      </c>
      <c r="D488" s="27">
        <f>D478+D481+D484+D487</f>
        <v>-8089.48</v>
      </c>
      <c r="E488" s="25"/>
      <c r="F488" s="25"/>
      <c r="G488" s="25"/>
    </row>
    <row r="489" spans="2:7" ht="12.75">
      <c r="B489" s="11"/>
      <c r="C489" s="11"/>
      <c r="D489" s="27"/>
      <c r="E489" s="25"/>
      <c r="F489" s="25"/>
      <c r="G489" s="25"/>
    </row>
    <row r="490" spans="2:7" ht="12.75">
      <c r="B490" s="11"/>
      <c r="C490" s="14" t="s">
        <v>58</v>
      </c>
      <c r="D490" s="27" t="s">
        <v>37</v>
      </c>
      <c r="E490" s="25"/>
      <c r="F490" s="24">
        <v>64.4</v>
      </c>
      <c r="G490" s="25"/>
    </row>
    <row r="491" spans="2:7" ht="12.75">
      <c r="B491" s="11"/>
      <c r="C491" s="14" t="s">
        <v>45</v>
      </c>
      <c r="D491" s="27"/>
      <c r="E491" s="25"/>
      <c r="F491" s="24">
        <v>-83.9</v>
      </c>
      <c r="G491" s="25"/>
    </row>
    <row r="492" spans="2:7" ht="12.75">
      <c r="B492" s="23" t="s">
        <v>39</v>
      </c>
      <c r="C492" s="23"/>
      <c r="D492" s="23"/>
      <c r="E492" s="23"/>
      <c r="F492" s="23"/>
      <c r="G492" s="23"/>
    </row>
    <row r="494" spans="2:7" ht="12.75">
      <c r="B494" s="1" t="s">
        <v>0</v>
      </c>
      <c r="C494" s="1"/>
      <c r="D494" s="1"/>
      <c r="E494" s="1"/>
      <c r="F494" s="1"/>
      <c r="G494" s="1"/>
    </row>
    <row r="495" spans="2:7" ht="12.75">
      <c r="B495" s="1" t="s">
        <v>51</v>
      </c>
      <c r="C495" s="1"/>
      <c r="D495" s="1"/>
      <c r="E495" s="1"/>
      <c r="F495" s="1"/>
      <c r="G495" s="1"/>
    </row>
    <row r="496" spans="2:7" ht="12.75">
      <c r="B496" s="1" t="s">
        <v>78</v>
      </c>
      <c r="C496" s="1"/>
      <c r="D496" s="1"/>
      <c r="E496" s="1"/>
      <c r="F496" s="1"/>
      <c r="G496" s="1"/>
    </row>
    <row r="497" spans="2:7" ht="12.75" customHeight="1">
      <c r="B497" s="2"/>
      <c r="C497" s="2" t="s">
        <v>3</v>
      </c>
      <c r="D497" s="3" t="s">
        <v>41</v>
      </c>
      <c r="E497" s="3"/>
      <c r="F497" s="4" t="s">
        <v>5</v>
      </c>
      <c r="G497" s="4"/>
    </row>
    <row r="498" spans="2:7" ht="12.75">
      <c r="B498" s="2"/>
      <c r="C498" s="2"/>
      <c r="D498" s="3" t="s">
        <v>6</v>
      </c>
      <c r="E498" s="3" t="s">
        <v>7</v>
      </c>
      <c r="F498" s="3" t="s">
        <v>6</v>
      </c>
      <c r="G498" s="3" t="s">
        <v>8</v>
      </c>
    </row>
    <row r="499" spans="2:7" ht="12.75">
      <c r="B499" s="5">
        <v>1</v>
      </c>
      <c r="C499" s="6" t="s">
        <v>9</v>
      </c>
      <c r="D499" s="1">
        <v>2155.58</v>
      </c>
      <c r="E499" s="1"/>
      <c r="F499" s="1">
        <v>2155.58</v>
      </c>
      <c r="G499" s="1"/>
    </row>
    <row r="500" spans="2:7" ht="12.75">
      <c r="B500" s="5">
        <v>2</v>
      </c>
      <c r="C500" s="7" t="s">
        <v>10</v>
      </c>
      <c r="D500" s="8"/>
      <c r="E500" s="8"/>
      <c r="F500" s="8" t="s">
        <v>3</v>
      </c>
      <c r="G500" s="8"/>
    </row>
    <row r="501" spans="2:7" ht="12.75">
      <c r="B501" s="5"/>
      <c r="C501" s="2" t="s">
        <v>49</v>
      </c>
      <c r="D501" s="9"/>
      <c r="E501" s="9"/>
      <c r="F501" s="9">
        <v>518380.53</v>
      </c>
      <c r="G501" s="9"/>
    </row>
    <row r="502" spans="2:7" ht="12.75">
      <c r="B502" s="5"/>
      <c r="C502" s="2" t="s">
        <v>50</v>
      </c>
      <c r="D502" s="9"/>
      <c r="E502" s="9"/>
      <c r="F502" s="9">
        <v>553671.26</v>
      </c>
      <c r="G502" s="9"/>
    </row>
    <row r="503" spans="2:7" ht="12.75">
      <c r="B503" s="5"/>
      <c r="C503" s="2" t="s">
        <v>13</v>
      </c>
      <c r="D503" s="9"/>
      <c r="E503" s="9"/>
      <c r="F503" s="9">
        <f>F502-F501</f>
        <v>35290.72999999998</v>
      </c>
      <c r="G503" s="9"/>
    </row>
    <row r="504" spans="2:7" ht="12.75">
      <c r="B504" s="5">
        <v>3</v>
      </c>
      <c r="C504" s="10" t="s">
        <v>14</v>
      </c>
      <c r="D504" s="1" t="s">
        <v>15</v>
      </c>
      <c r="E504" s="1"/>
      <c r="F504" s="1" t="s">
        <v>15</v>
      </c>
      <c r="G504" s="1"/>
    </row>
    <row r="505" spans="2:7" ht="12.75">
      <c r="B505" s="11" t="s">
        <v>16</v>
      </c>
      <c r="C505" s="11"/>
      <c r="D505" s="13">
        <v>70.1</v>
      </c>
      <c r="E505" s="13">
        <f>D505/2155.58/12*1000</f>
        <v>2.710020814196952</v>
      </c>
      <c r="F505" s="13">
        <v>70</v>
      </c>
      <c r="G505" s="13">
        <f>F505/2155.58/12*1000</f>
        <v>2.7061548786560152</v>
      </c>
    </row>
    <row r="506" spans="2:7" ht="12.75" customHeight="1">
      <c r="B506" s="14" t="s">
        <v>17</v>
      </c>
      <c r="C506" s="14"/>
      <c r="D506" s="1">
        <f>D507+D508+D509</f>
        <v>145.16</v>
      </c>
      <c r="E506" s="13">
        <f>D506/2155.58/12*1000</f>
        <v>5.611792031224389</v>
      </c>
      <c r="F506" s="1">
        <f>F507+F508+F509</f>
        <v>184.2</v>
      </c>
      <c r="G506" s="13">
        <f>F506/2155.58/12*1000</f>
        <v>7.121053266406257</v>
      </c>
    </row>
    <row r="507" spans="2:7" ht="12.75">
      <c r="B507" s="2"/>
      <c r="C507" s="15" t="s">
        <v>18</v>
      </c>
      <c r="D507" s="9">
        <v>112.6</v>
      </c>
      <c r="E507" s="13">
        <f>D507/2155.58/12*1000</f>
        <v>4.353043419095247</v>
      </c>
      <c r="F507" s="9">
        <f>41.39+2.46+69.25</f>
        <v>113.1</v>
      </c>
      <c r="G507" s="13">
        <f>F507/2155.58/12*1000</f>
        <v>4.372373096799933</v>
      </c>
    </row>
    <row r="508" spans="2:7" ht="12.75">
      <c r="B508" s="2"/>
      <c r="C508" s="15" t="s">
        <v>19</v>
      </c>
      <c r="D508" s="17">
        <v>32.56</v>
      </c>
      <c r="E508" s="13">
        <f>D508/2155.58/12*1000</f>
        <v>1.2587486121291411</v>
      </c>
      <c r="F508" s="17">
        <v>68.3</v>
      </c>
      <c r="G508" s="13">
        <f>F508/2155.58/12*1000</f>
        <v>2.6404339744600835</v>
      </c>
    </row>
    <row r="509" spans="2:7" ht="12.75">
      <c r="B509" s="32" t="s">
        <v>20</v>
      </c>
      <c r="C509" s="32"/>
      <c r="D509" s="18">
        <v>0</v>
      </c>
      <c r="E509" s="13">
        <f>D509/2155.58/12*1000</f>
        <v>0</v>
      </c>
      <c r="F509" s="18">
        <v>2.8</v>
      </c>
      <c r="G509" s="13">
        <f>F509/2155.58/12*1000</f>
        <v>0.10824619514624062</v>
      </c>
    </row>
    <row r="510" spans="2:7" ht="12.75" customHeight="1">
      <c r="B510" s="19" t="s">
        <v>21</v>
      </c>
      <c r="C510" s="19"/>
      <c r="D510" s="13">
        <f>D511+D513+D512</f>
        <v>161.66</v>
      </c>
      <c r="E510" s="13">
        <f>D510/2155.58/12*1000</f>
        <v>6.24967139547902</v>
      </c>
      <c r="F510" s="13">
        <f>F511+F513+F512</f>
        <v>169.86999999999998</v>
      </c>
      <c r="G510" s="13">
        <f>F510/2155.58/12*1000</f>
        <v>6.567064703389961</v>
      </c>
    </row>
    <row r="511" spans="2:7" ht="12.75">
      <c r="B511" s="2"/>
      <c r="C511" s="15" t="s">
        <v>22</v>
      </c>
      <c r="D511" s="9">
        <v>135.54</v>
      </c>
      <c r="E511" s="13">
        <f>D511/2155.58/12*1000</f>
        <v>5.239889032186233</v>
      </c>
      <c r="F511" s="8">
        <f>96.66+29.5+4.2+13+1.76+11.08+4.25+0.22+1.5</f>
        <v>162.17</v>
      </c>
      <c r="G511" s="13">
        <f>F511/2155.58/12*1000</f>
        <v>6.269387666737799</v>
      </c>
    </row>
    <row r="512" spans="2:7" ht="12.75">
      <c r="B512" s="2"/>
      <c r="C512" s="15" t="s">
        <v>23</v>
      </c>
      <c r="D512" s="9">
        <v>24.06</v>
      </c>
      <c r="E512" s="13">
        <f>D512/2155.58/12*1000</f>
        <v>0.9301440911494819</v>
      </c>
      <c r="F512" s="9">
        <v>6.6</v>
      </c>
      <c r="G512" s="13">
        <f>F512/2155.58/12*1000</f>
        <v>0.2551517457018529</v>
      </c>
    </row>
    <row r="513" spans="2:7" ht="12.75">
      <c r="B513" s="2"/>
      <c r="C513" s="20" t="s">
        <v>24</v>
      </c>
      <c r="D513" s="9">
        <v>2.06</v>
      </c>
      <c r="E513" s="13">
        <f>D513/2155.58/12*1000</f>
        <v>0.0796382721433056</v>
      </c>
      <c r="F513" s="9">
        <v>1.1</v>
      </c>
      <c r="G513" s="13">
        <f>F513/2155.58/12*1000</f>
        <v>0.04252529095030881</v>
      </c>
    </row>
    <row r="514" spans="2:7" ht="12.75">
      <c r="B514" s="11" t="s">
        <v>25</v>
      </c>
      <c r="C514" s="11"/>
      <c r="D514" s="13">
        <v>15.26</v>
      </c>
      <c r="E514" s="13">
        <f>D514/2155.58/12*1000</f>
        <v>0.5899417635470114</v>
      </c>
      <c r="F514" s="13">
        <v>16.54</v>
      </c>
      <c r="G514" s="13">
        <f>F514/2155.58/12*1000</f>
        <v>0.639425738471007</v>
      </c>
    </row>
    <row r="515" spans="2:7" ht="12.75">
      <c r="B515" s="21" t="s">
        <v>26</v>
      </c>
      <c r="C515" s="21"/>
      <c r="D515" s="13">
        <v>79.93</v>
      </c>
      <c r="E515" s="13">
        <f>D515/2155.58/12*1000</f>
        <v>3.0900422778710763</v>
      </c>
      <c r="F515" s="1">
        <f>14.5+66.48</f>
        <v>80.98</v>
      </c>
      <c r="G515" s="13">
        <f>F515/2155.58/12*1000</f>
        <v>3.1306346010509163</v>
      </c>
    </row>
    <row r="516" spans="2:7" ht="12.75">
      <c r="B516" s="2"/>
      <c r="C516" s="10" t="s">
        <v>28</v>
      </c>
      <c r="D516" s="12">
        <f>D505+D506+D510+D514+D515</f>
        <v>472.10999999999996</v>
      </c>
      <c r="E516" s="12">
        <f>E505+E506+E510+E514+E515</f>
        <v>18.25146828231845</v>
      </c>
      <c r="F516" s="12">
        <f>F505+F506+F510+F514+F515</f>
        <v>521.5899999999999</v>
      </c>
      <c r="G516" s="13">
        <f>G505+G506+G510+G514+G515</f>
        <v>20.164333187974158</v>
      </c>
    </row>
    <row r="517" spans="2:7" ht="12.75">
      <c r="B517" s="2">
        <v>4</v>
      </c>
      <c r="C517" s="10" t="s">
        <v>29</v>
      </c>
      <c r="D517" s="13">
        <v>47.2</v>
      </c>
      <c r="E517" s="12">
        <v>1.8</v>
      </c>
      <c r="F517" s="12"/>
      <c r="G517" s="12"/>
    </row>
    <row r="518" spans="2:7" ht="12.75">
      <c r="B518" s="5">
        <v>5</v>
      </c>
      <c r="C518" s="10" t="s">
        <v>13</v>
      </c>
      <c r="D518" s="13">
        <f>D516+D517</f>
        <v>519.31</v>
      </c>
      <c r="E518" s="13">
        <f>E516+E517</f>
        <v>20.05146828231845</v>
      </c>
      <c r="F518" s="13">
        <f>F516-F502/1000</f>
        <v>-32.08126000000004</v>
      </c>
      <c r="G518" s="13"/>
    </row>
    <row r="519" spans="2:7" ht="12.75">
      <c r="B519" s="23"/>
      <c r="C519" s="23"/>
      <c r="D519" s="25"/>
      <c r="E519" s="25"/>
      <c r="F519" s="23"/>
      <c r="G519" s="23"/>
    </row>
    <row r="520" spans="2:7" ht="12.75">
      <c r="B520" s="11" t="s">
        <v>30</v>
      </c>
      <c r="C520" s="11"/>
      <c r="D520" s="27"/>
      <c r="E520" s="25"/>
      <c r="F520" s="25"/>
      <c r="G520" s="25"/>
    </row>
    <row r="521" spans="2:7" ht="12.75">
      <c r="B521" s="25"/>
      <c r="C521" s="34" t="s">
        <v>31</v>
      </c>
      <c r="D521" s="35">
        <v>12689.53</v>
      </c>
      <c r="E521" s="25"/>
      <c r="F521" s="25"/>
      <c r="G521" s="25"/>
    </row>
    <row r="522" spans="2:7" ht="12.75">
      <c r="B522" s="5"/>
      <c r="C522" s="23" t="s">
        <v>32</v>
      </c>
      <c r="D522" s="35">
        <v>11387.93</v>
      </c>
      <c r="E522" s="25"/>
      <c r="F522" s="25"/>
      <c r="G522" s="25"/>
    </row>
    <row r="523" spans="2:7" ht="12.75">
      <c r="B523" s="5"/>
      <c r="C523" s="36" t="s">
        <v>13</v>
      </c>
      <c r="D523" s="33">
        <f>D522-D521</f>
        <v>-1301.6000000000004</v>
      </c>
      <c r="E523" s="25"/>
      <c r="F523" s="25"/>
      <c r="G523" s="25"/>
    </row>
    <row r="524" spans="2:7" ht="12.75">
      <c r="B524" s="5"/>
      <c r="C524" s="34" t="s">
        <v>33</v>
      </c>
      <c r="D524" s="35">
        <v>18011.02</v>
      </c>
      <c r="E524" s="25"/>
      <c r="F524" s="25"/>
      <c r="G524" s="25"/>
    </row>
    <row r="525" spans="2:7" ht="12.75">
      <c r="B525" s="5"/>
      <c r="C525" s="23" t="s">
        <v>34</v>
      </c>
      <c r="D525" s="35">
        <v>16108.37</v>
      </c>
      <c r="E525" s="25"/>
      <c r="F525" s="25"/>
      <c r="G525" s="25"/>
    </row>
    <row r="526" spans="2:7" ht="12.75">
      <c r="B526" s="5"/>
      <c r="C526" s="36" t="s">
        <v>13</v>
      </c>
      <c r="D526" s="33">
        <f>D525-D524</f>
        <v>-1902.6499999999996</v>
      </c>
      <c r="E526" s="25"/>
      <c r="F526" s="25"/>
      <c r="G526" s="25"/>
    </row>
    <row r="527" spans="2:7" ht="12.75">
      <c r="B527" s="5"/>
      <c r="C527" s="34" t="s">
        <v>76</v>
      </c>
      <c r="D527" s="35">
        <v>19347.02</v>
      </c>
      <c r="E527" s="25"/>
      <c r="F527" s="25"/>
      <c r="G527" s="25"/>
    </row>
    <row r="528" spans="2:7" ht="12.75">
      <c r="B528" s="5"/>
      <c r="C528" s="23" t="s">
        <v>77</v>
      </c>
      <c r="D528" s="35">
        <v>18215.38</v>
      </c>
      <c r="E528" s="25"/>
      <c r="F528" s="25"/>
      <c r="G528" s="25"/>
    </row>
    <row r="529" spans="2:7" ht="12.75">
      <c r="B529" s="5"/>
      <c r="C529" s="36" t="s">
        <v>13</v>
      </c>
      <c r="D529" s="33">
        <f>D528-D527</f>
        <v>-1131.6399999999994</v>
      </c>
      <c r="E529" s="25"/>
      <c r="F529" s="25"/>
      <c r="G529" s="25"/>
    </row>
    <row r="530" spans="2:7" ht="12.75">
      <c r="B530" s="5"/>
      <c r="C530" s="34" t="s">
        <v>42</v>
      </c>
      <c r="D530" s="35">
        <v>4185.17</v>
      </c>
      <c r="E530" s="25"/>
      <c r="F530" s="25"/>
      <c r="G530" s="25"/>
    </row>
    <row r="531" spans="2:7" ht="12.75">
      <c r="B531" s="5"/>
      <c r="C531" s="23" t="s">
        <v>43</v>
      </c>
      <c r="D531" s="35">
        <v>2884.46</v>
      </c>
      <c r="E531" s="25"/>
      <c r="F531" s="25"/>
      <c r="G531" s="25"/>
    </row>
    <row r="532" spans="2:7" ht="12.75">
      <c r="B532" s="5"/>
      <c r="C532" s="36" t="s">
        <v>13</v>
      </c>
      <c r="D532" s="33">
        <f>D531-D530</f>
        <v>-1300.71</v>
      </c>
      <c r="E532" s="25"/>
      <c r="F532" s="25"/>
      <c r="G532" s="25"/>
    </row>
    <row r="533" spans="2:7" ht="12.75">
      <c r="B533" s="11"/>
      <c r="C533" s="11" t="s">
        <v>35</v>
      </c>
      <c r="D533" s="27">
        <f>D523+D526+D529+D532</f>
        <v>-5636.599999999999</v>
      </c>
      <c r="E533" s="25"/>
      <c r="F533" s="25"/>
      <c r="G533" s="25"/>
    </row>
    <row r="534" spans="2:7" ht="12.75">
      <c r="B534" s="11"/>
      <c r="C534" s="11"/>
      <c r="D534" s="27"/>
      <c r="E534" s="25"/>
      <c r="F534" s="25"/>
      <c r="G534" s="25"/>
    </row>
    <row r="535" spans="2:7" ht="12.75">
      <c r="B535" s="11"/>
      <c r="C535" s="14" t="s">
        <v>58</v>
      </c>
      <c r="D535" s="27" t="s">
        <v>37</v>
      </c>
      <c r="E535" s="25"/>
      <c r="F535" s="24">
        <v>-26.44</v>
      </c>
      <c r="G535" s="25"/>
    </row>
    <row r="536" spans="2:7" ht="12.75">
      <c r="B536" s="11"/>
      <c r="C536" s="14" t="s">
        <v>45</v>
      </c>
      <c r="D536" s="27"/>
      <c r="E536" s="25"/>
      <c r="F536" s="24">
        <v>-60.3</v>
      </c>
      <c r="G536" s="25"/>
    </row>
    <row r="537" spans="2:7" ht="12.75">
      <c r="B537" s="23" t="s">
        <v>39</v>
      </c>
      <c r="C537" s="23"/>
      <c r="D537" s="23"/>
      <c r="E537" s="23"/>
      <c r="F537" s="23"/>
      <c r="G537" s="23"/>
    </row>
    <row r="539" spans="2:7" ht="12.75">
      <c r="B539" s="1" t="s">
        <v>0</v>
      </c>
      <c r="C539" s="1"/>
      <c r="D539" s="1"/>
      <c r="E539" s="1"/>
      <c r="F539" s="1"/>
      <c r="G539" s="1"/>
    </row>
    <row r="540" spans="2:7" ht="12.75">
      <c r="B540" s="1" t="s">
        <v>46</v>
      </c>
      <c r="C540" s="1"/>
      <c r="D540" s="1"/>
      <c r="E540" s="1"/>
      <c r="F540" s="1"/>
      <c r="G540" s="1"/>
    </row>
    <row r="541" spans="2:7" ht="12.75">
      <c r="B541" s="1" t="s">
        <v>79</v>
      </c>
      <c r="C541" s="1"/>
      <c r="D541" s="1"/>
      <c r="E541" s="1"/>
      <c r="F541" s="1"/>
      <c r="G541" s="1"/>
    </row>
    <row r="542" spans="2:7" ht="12.75" customHeight="1">
      <c r="B542" s="2"/>
      <c r="C542" s="2" t="s">
        <v>3</v>
      </c>
      <c r="D542" s="3" t="s">
        <v>41</v>
      </c>
      <c r="E542" s="3"/>
      <c r="F542" s="4" t="s">
        <v>5</v>
      </c>
      <c r="G542" s="4"/>
    </row>
    <row r="543" spans="2:7" ht="12.75">
      <c r="B543" s="2"/>
      <c r="C543" s="2"/>
      <c r="D543" s="3" t="s">
        <v>6</v>
      </c>
      <c r="E543" s="3" t="s">
        <v>7</v>
      </c>
      <c r="F543" s="3" t="s">
        <v>6</v>
      </c>
      <c r="G543" s="3" t="s">
        <v>8</v>
      </c>
    </row>
    <row r="544" spans="2:7" ht="12.75">
      <c r="B544" s="5">
        <v>1</v>
      </c>
      <c r="C544" s="6" t="s">
        <v>9</v>
      </c>
      <c r="D544" s="1">
        <v>2188.11</v>
      </c>
      <c r="E544" s="1"/>
      <c r="F544" s="1">
        <v>2189.1</v>
      </c>
      <c r="G544" s="1"/>
    </row>
    <row r="545" spans="2:7" ht="12.75">
      <c r="B545" s="5">
        <v>2</v>
      </c>
      <c r="C545" s="7" t="s">
        <v>10</v>
      </c>
      <c r="D545" s="8"/>
      <c r="E545" s="8"/>
      <c r="F545" s="8" t="s">
        <v>3</v>
      </c>
      <c r="G545" s="8"/>
    </row>
    <row r="546" spans="2:7" ht="12.75">
      <c r="B546" s="5"/>
      <c r="C546" s="6" t="s">
        <v>11</v>
      </c>
      <c r="D546" s="9"/>
      <c r="E546" s="9"/>
      <c r="F546" s="9">
        <v>559536.75</v>
      </c>
      <c r="G546" s="9"/>
    </row>
    <row r="547" spans="2:7" ht="12.75">
      <c r="B547" s="5"/>
      <c r="C547" s="2" t="s">
        <v>12</v>
      </c>
      <c r="D547" s="9"/>
      <c r="E547" s="9"/>
      <c r="F547" s="9">
        <v>564144.53</v>
      </c>
      <c r="G547" s="9"/>
    </row>
    <row r="548" spans="2:7" ht="12.75">
      <c r="B548" s="5"/>
      <c r="C548" s="2" t="s">
        <v>13</v>
      </c>
      <c r="D548" s="9"/>
      <c r="E548" s="9"/>
      <c r="F548" s="9">
        <f>F547-F546</f>
        <v>4607.780000000028</v>
      </c>
      <c r="G548" s="9"/>
    </row>
    <row r="549" spans="2:7" ht="12.75">
      <c r="B549" s="5">
        <v>3</v>
      </c>
      <c r="C549" s="10" t="s">
        <v>14</v>
      </c>
      <c r="D549" s="1" t="s">
        <v>15</v>
      </c>
      <c r="E549" s="1"/>
      <c r="F549" s="1" t="s">
        <v>15</v>
      </c>
      <c r="G549" s="1"/>
    </row>
    <row r="550" spans="2:7" ht="12.75">
      <c r="B550" s="11" t="s">
        <v>16</v>
      </c>
      <c r="C550" s="11"/>
      <c r="D550" s="13">
        <v>71.16</v>
      </c>
      <c r="E550" s="13">
        <f>D550/2188.11/12*1000</f>
        <v>2.710101411720617</v>
      </c>
      <c r="F550" s="13">
        <v>75.5</v>
      </c>
      <c r="G550" s="13">
        <f>F550/2188.11/12*1000</f>
        <v>2.87538865352595</v>
      </c>
    </row>
    <row r="551" spans="2:7" ht="12.75" customHeight="1">
      <c r="B551" s="14" t="s">
        <v>17</v>
      </c>
      <c r="C551" s="14"/>
      <c r="D551" s="1">
        <f>D552+D553+D554</f>
        <v>147.36</v>
      </c>
      <c r="E551" s="13">
        <f>D551/2188.11/12*1000</f>
        <v>5.612149297795815</v>
      </c>
      <c r="F551" s="1">
        <f>F552+F553+F554</f>
        <v>185.89</v>
      </c>
      <c r="G551" s="13">
        <f>F551/2188.11/12*1000</f>
        <v>7.079549626542236</v>
      </c>
    </row>
    <row r="552" spans="2:7" ht="12.75">
      <c r="B552" s="2"/>
      <c r="C552" s="15" t="s">
        <v>18</v>
      </c>
      <c r="D552" s="9">
        <v>114.3</v>
      </c>
      <c r="E552" s="13">
        <f>D552/2188.11/12*1000</f>
        <v>4.353071829112796</v>
      </c>
      <c r="F552" s="9">
        <f>42+5.3+70.3</f>
        <v>117.6</v>
      </c>
      <c r="G552" s="13">
        <f>F552/2188.11/12*1000</f>
        <v>4.4787510682735325</v>
      </c>
    </row>
    <row r="553" spans="2:7" ht="12.75">
      <c r="B553" s="2"/>
      <c r="C553" s="15" t="s">
        <v>19</v>
      </c>
      <c r="D553" s="17">
        <v>33.06</v>
      </c>
      <c r="E553" s="13">
        <f>D553/2188.11/12*1000</f>
        <v>1.2590774686830188</v>
      </c>
      <c r="F553" s="17">
        <v>64.09</v>
      </c>
      <c r="G553" s="13">
        <f>F553/2188.11/12*1000</f>
        <v>2.4408431629732203</v>
      </c>
    </row>
    <row r="554" spans="2:7" ht="12.75">
      <c r="B554" s="32" t="s">
        <v>20</v>
      </c>
      <c r="C554" s="32"/>
      <c r="D554" s="18">
        <v>0</v>
      </c>
      <c r="E554" s="13">
        <f>D554/2188.11/12*1000</f>
        <v>0</v>
      </c>
      <c r="F554" s="18">
        <v>4.2</v>
      </c>
      <c r="G554" s="13">
        <f>F554/2188.11/12*1000</f>
        <v>0.1599553952954833</v>
      </c>
    </row>
    <row r="555" spans="2:7" ht="12.75" customHeight="1">
      <c r="B555" s="19" t="s">
        <v>21</v>
      </c>
      <c r="C555" s="19"/>
      <c r="D555" s="13">
        <f>D556+D558+D557</f>
        <v>164.12</v>
      </c>
      <c r="E555" s="13">
        <f>D555/2188.11/12*1000</f>
        <v>6.250447494260648</v>
      </c>
      <c r="F555" s="13">
        <f>F556+F558+F557</f>
        <v>170.17999999999998</v>
      </c>
      <c r="G555" s="13">
        <f>F555/2188.11/12*1000</f>
        <v>6.481240278901272</v>
      </c>
    </row>
    <row r="556" spans="2:7" ht="12.75">
      <c r="B556" s="2"/>
      <c r="C556" s="15" t="s">
        <v>22</v>
      </c>
      <c r="D556" s="9">
        <v>137.6</v>
      </c>
      <c r="E556" s="13">
        <f>D556/2188.11/12*1000</f>
        <v>5.240443426823452</v>
      </c>
      <c r="F556" s="8">
        <f>98.1+30+4.3+13.2+1.78+9.5+4.06+0.22+1.5</f>
        <v>162.66</v>
      </c>
      <c r="G556" s="13">
        <f>F556/2188.11/12*1000</f>
        <v>6.194843952086503</v>
      </c>
    </row>
    <row r="557" spans="2:7" ht="12.75">
      <c r="B557" s="2"/>
      <c r="C557" s="15" t="s">
        <v>23</v>
      </c>
      <c r="D557" s="9">
        <v>24.42</v>
      </c>
      <c r="E557" s="13">
        <f>D557/2188.11/12*1000</f>
        <v>0.930026369789453</v>
      </c>
      <c r="F557" s="9">
        <v>6.42</v>
      </c>
      <c r="G557" s="13">
        <f>F557/2188.11/12*1000</f>
        <v>0.24450324709452445</v>
      </c>
    </row>
    <row r="558" spans="2:7" ht="12.75">
      <c r="B558" s="2"/>
      <c r="C558" s="20" t="s">
        <v>24</v>
      </c>
      <c r="D558" s="9">
        <v>2.1</v>
      </c>
      <c r="E558" s="13">
        <f>D558/2188.11/12*1000</f>
        <v>0.07997769764774165</v>
      </c>
      <c r="F558" s="9">
        <v>1.1</v>
      </c>
      <c r="G558" s="13">
        <f>F558/2188.11/12*1000</f>
        <v>0.04189307972024563</v>
      </c>
    </row>
    <row r="559" spans="2:7" ht="12.75">
      <c r="B559" s="11" t="s">
        <v>25</v>
      </c>
      <c r="C559" s="11"/>
      <c r="D559" s="13">
        <v>15.49</v>
      </c>
      <c r="E559" s="13">
        <f>D559/2188.11/12*1000</f>
        <v>0.5899307316969135</v>
      </c>
      <c r="F559" s="13">
        <v>16.85</v>
      </c>
      <c r="G559" s="13">
        <f>F559/2188.11/12*1000</f>
        <v>0.641725812078308</v>
      </c>
    </row>
    <row r="560" spans="2:7" ht="12.75">
      <c r="B560" s="21" t="s">
        <v>26</v>
      </c>
      <c r="C560" s="21"/>
      <c r="D560" s="13">
        <v>81.1</v>
      </c>
      <c r="E560" s="13">
        <f>D560/2188.11/12*1000</f>
        <v>3.0886625139199277</v>
      </c>
      <c r="F560" s="1">
        <f>14.7+67.48</f>
        <v>82.18</v>
      </c>
      <c r="G560" s="13">
        <f>F560/2188.11/12*1000</f>
        <v>3.1297939012816243</v>
      </c>
    </row>
    <row r="561" spans="2:7" ht="12.75">
      <c r="B561" s="21"/>
      <c r="C561" s="22" t="s">
        <v>27</v>
      </c>
      <c r="D561" s="13">
        <v>0</v>
      </c>
      <c r="E561" s="13">
        <f>D561/2188.11/12*1000</f>
        <v>0</v>
      </c>
      <c r="F561" s="1">
        <v>33.1</v>
      </c>
      <c r="G561" s="13">
        <f>F561/2188.11/12*1000</f>
        <v>1.2606008534001185</v>
      </c>
    </row>
    <row r="562" spans="2:7" ht="12.75">
      <c r="B562" s="2"/>
      <c r="C562" s="10" t="s">
        <v>28</v>
      </c>
      <c r="D562" s="12">
        <f>D550+D551+D555+D559+D560</f>
        <v>479.23</v>
      </c>
      <c r="E562" s="12">
        <f>E550+E551+E555+E559+E560</f>
        <v>18.25129144939392</v>
      </c>
      <c r="F562" s="13">
        <f>F550+F551+F555+F559+F560+F561</f>
        <v>563.6999999999999</v>
      </c>
      <c r="G562" s="13">
        <f>G550+G551+G555+G559+G560+G561</f>
        <v>21.46829912572951</v>
      </c>
    </row>
    <row r="563" spans="2:7" ht="12.75">
      <c r="B563" s="2">
        <v>4</v>
      </c>
      <c r="C563" s="10" t="s">
        <v>29</v>
      </c>
      <c r="D563" s="13">
        <v>47.89</v>
      </c>
      <c r="E563" s="12">
        <v>1.8</v>
      </c>
      <c r="F563" s="12"/>
      <c r="G563" s="12"/>
    </row>
    <row r="564" spans="2:7" ht="12.75">
      <c r="B564" s="5">
        <v>5</v>
      </c>
      <c r="C564" s="10" t="s">
        <v>13</v>
      </c>
      <c r="D564" s="13">
        <f>D562+D563</f>
        <v>527.12</v>
      </c>
      <c r="E564" s="13">
        <f>E562+E563</f>
        <v>20.051291449393922</v>
      </c>
      <c r="F564" s="13">
        <f>F562-F547/1000</f>
        <v>-0.4445300000000998</v>
      </c>
      <c r="G564" s="13"/>
    </row>
    <row r="565" spans="2:7" ht="12.75">
      <c r="B565" s="23"/>
      <c r="C565" s="23"/>
      <c r="D565" s="25"/>
      <c r="E565" s="25"/>
      <c r="F565" s="23"/>
      <c r="G565" s="23"/>
    </row>
    <row r="566" spans="2:7" ht="12.75">
      <c r="B566" s="11" t="s">
        <v>30</v>
      </c>
      <c r="C566" s="11"/>
      <c r="D566" s="27"/>
      <c r="E566" s="25"/>
      <c r="F566" s="25"/>
      <c r="G566" s="25"/>
    </row>
    <row r="567" spans="2:7" ht="12.75">
      <c r="B567" s="25"/>
      <c r="C567" s="34" t="s">
        <v>31</v>
      </c>
      <c r="D567" s="35">
        <v>17351.23</v>
      </c>
      <c r="E567" s="25"/>
      <c r="F567" s="25"/>
      <c r="G567" s="25"/>
    </row>
    <row r="568" spans="2:7" ht="12.75">
      <c r="B568" s="5"/>
      <c r="C568" s="23" t="s">
        <v>32</v>
      </c>
      <c r="D568" s="35">
        <v>15584.53</v>
      </c>
      <c r="E568" s="25"/>
      <c r="F568" s="25"/>
      <c r="G568" s="25"/>
    </row>
    <row r="569" spans="2:7" ht="12.75">
      <c r="B569" s="5"/>
      <c r="C569" s="36" t="s">
        <v>13</v>
      </c>
      <c r="D569" s="33">
        <f>D568-D567</f>
        <v>-1766.699999999999</v>
      </c>
      <c r="E569" s="25"/>
      <c r="F569" s="25"/>
      <c r="G569" s="25"/>
    </row>
    <row r="570" spans="2:7" ht="12.75">
      <c r="B570" s="5"/>
      <c r="C570" s="34" t="s">
        <v>33</v>
      </c>
      <c r="D570" s="35">
        <v>26193.3</v>
      </c>
      <c r="E570" s="25"/>
      <c r="F570" s="25"/>
      <c r="G570" s="25"/>
    </row>
    <row r="571" spans="2:7" ht="12.75">
      <c r="B571" s="5"/>
      <c r="C571" s="23" t="s">
        <v>34</v>
      </c>
      <c r="D571" s="35">
        <v>24290.46</v>
      </c>
      <c r="E571" s="25"/>
      <c r="F571" s="25"/>
      <c r="G571" s="25"/>
    </row>
    <row r="572" spans="2:7" ht="12.75">
      <c r="B572" s="5"/>
      <c r="C572" s="36" t="s">
        <v>13</v>
      </c>
      <c r="D572" s="33">
        <f>D571-D570</f>
        <v>-1902.8400000000001</v>
      </c>
      <c r="E572" s="25"/>
      <c r="F572" s="25"/>
      <c r="G572" s="25"/>
    </row>
    <row r="573" spans="2:7" ht="12.75">
      <c r="B573" s="5"/>
      <c r="C573" s="34" t="s">
        <v>76</v>
      </c>
      <c r="D573" s="35">
        <v>64092.64</v>
      </c>
      <c r="E573" s="25"/>
      <c r="F573" s="25"/>
      <c r="G573" s="25"/>
    </row>
    <row r="574" spans="2:7" ht="12.75">
      <c r="B574" s="5"/>
      <c r="C574" s="23" t="s">
        <v>77</v>
      </c>
      <c r="D574" s="35">
        <v>65249.89</v>
      </c>
      <c r="E574" s="25"/>
      <c r="F574" s="25"/>
      <c r="G574" s="25"/>
    </row>
    <row r="575" spans="2:7" ht="12.75">
      <c r="B575" s="5"/>
      <c r="C575" s="36" t="s">
        <v>13</v>
      </c>
      <c r="D575" s="33">
        <f>D574-D573</f>
        <v>1157.25</v>
      </c>
      <c r="E575" s="25"/>
      <c r="F575" s="25"/>
      <c r="G575" s="25"/>
    </row>
    <row r="576" spans="2:7" ht="12.75">
      <c r="B576" s="5"/>
      <c r="C576" s="34" t="s">
        <v>42</v>
      </c>
      <c r="D576" s="35">
        <v>4046.79</v>
      </c>
      <c r="E576" s="25"/>
      <c r="F576" s="25"/>
      <c r="G576" s="25"/>
    </row>
    <row r="577" spans="2:7" ht="12.75">
      <c r="B577" s="5"/>
      <c r="C577" s="23" t="s">
        <v>43</v>
      </c>
      <c r="D577" s="35">
        <v>2791.35</v>
      </c>
      <c r="E577" s="25"/>
      <c r="F577" s="25"/>
      <c r="G577" s="25"/>
    </row>
    <row r="578" spans="2:7" ht="12.75">
      <c r="B578" s="5"/>
      <c r="C578" s="36" t="s">
        <v>13</v>
      </c>
      <c r="D578" s="33">
        <f>D577-D576</f>
        <v>-1255.44</v>
      </c>
      <c r="E578" s="25"/>
      <c r="F578" s="25"/>
      <c r="G578" s="25"/>
    </row>
    <row r="579" spans="2:7" ht="12.75">
      <c r="B579" s="11"/>
      <c r="C579" s="11" t="s">
        <v>35</v>
      </c>
      <c r="D579" s="27">
        <f>D569+D572+D575+D578</f>
        <v>-3767.729999999999</v>
      </c>
      <c r="E579" s="25"/>
      <c r="F579" s="25"/>
      <c r="G579" s="25"/>
    </row>
    <row r="580" spans="2:7" ht="12.75">
      <c r="B580" s="11"/>
      <c r="C580" s="11"/>
      <c r="D580" s="27"/>
      <c r="E580" s="25"/>
      <c r="F580" s="25"/>
      <c r="G580" s="25"/>
    </row>
    <row r="581" spans="2:7" ht="12.75">
      <c r="B581" s="11"/>
      <c r="C581" s="14" t="s">
        <v>44</v>
      </c>
      <c r="D581" s="27" t="s">
        <v>37</v>
      </c>
      <c r="E581" s="25"/>
      <c r="F581" s="24">
        <v>3.33</v>
      </c>
      <c r="G581" s="25"/>
    </row>
    <row r="582" spans="2:7" ht="12.75">
      <c r="B582" s="11"/>
      <c r="C582" s="14" t="s">
        <v>38</v>
      </c>
      <c r="D582" s="27"/>
      <c r="E582" s="25"/>
      <c r="F582" s="24">
        <v>275.4</v>
      </c>
      <c r="G582" s="25"/>
    </row>
    <row r="583" spans="2:7" ht="12.75">
      <c r="B583" s="23" t="s">
        <v>39</v>
      </c>
      <c r="C583" s="23"/>
      <c r="D583" s="23"/>
      <c r="E583" s="23"/>
      <c r="F583" s="23"/>
      <c r="G583" s="23"/>
    </row>
    <row r="584" spans="2:4" ht="12.75">
      <c r="B584" s="29"/>
      <c r="C584" s="29"/>
      <c r="D584" s="38"/>
    </row>
    <row r="585" spans="2:4" ht="12.75">
      <c r="B585" s="29"/>
      <c r="C585" s="29"/>
      <c r="D585" s="29"/>
    </row>
    <row r="586" spans="2:7" ht="12.75">
      <c r="B586" s="1" t="s">
        <v>0</v>
      </c>
      <c r="C586" s="1"/>
      <c r="D586" s="1"/>
      <c r="E586" s="1"/>
      <c r="F586" s="1"/>
      <c r="G586" s="1"/>
    </row>
    <row r="587" spans="2:7" ht="12.75">
      <c r="B587" s="1" t="s">
        <v>51</v>
      </c>
      <c r="C587" s="1"/>
      <c r="D587" s="1"/>
      <c r="E587" s="1"/>
      <c r="F587" s="1"/>
      <c r="G587" s="1"/>
    </row>
    <row r="588" spans="2:7" ht="12.75">
      <c r="B588" s="1" t="s">
        <v>80</v>
      </c>
      <c r="C588" s="1"/>
      <c r="D588" s="1"/>
      <c r="E588" s="1"/>
      <c r="F588" s="1"/>
      <c r="G588" s="1"/>
    </row>
    <row r="589" spans="2:7" ht="12.75" customHeight="1">
      <c r="B589" s="2"/>
      <c r="C589" s="2" t="s">
        <v>3</v>
      </c>
      <c r="D589" s="3" t="s">
        <v>41</v>
      </c>
      <c r="E589" s="3"/>
      <c r="F589" s="4" t="s">
        <v>5</v>
      </c>
      <c r="G589" s="4"/>
    </row>
    <row r="590" spans="2:7" ht="12.75">
      <c r="B590" s="2"/>
      <c r="C590" s="2"/>
      <c r="D590" s="3" t="s">
        <v>6</v>
      </c>
      <c r="E590" s="3" t="s">
        <v>7</v>
      </c>
      <c r="F590" s="3" t="s">
        <v>6</v>
      </c>
      <c r="G590" s="3" t="s">
        <v>8</v>
      </c>
    </row>
    <row r="591" spans="2:7" ht="12.75">
      <c r="B591" s="5">
        <v>1</v>
      </c>
      <c r="C591" s="6" t="s">
        <v>9</v>
      </c>
      <c r="D591" s="1">
        <v>1821.15</v>
      </c>
      <c r="E591" s="1"/>
      <c r="F591" s="1">
        <v>1821.15</v>
      </c>
      <c r="G591" s="1"/>
    </row>
    <row r="592" spans="2:7" ht="12.75">
      <c r="B592" s="5">
        <v>2</v>
      </c>
      <c r="C592" s="7" t="s">
        <v>10</v>
      </c>
      <c r="D592" s="8"/>
      <c r="E592" s="8"/>
      <c r="F592" s="8" t="s">
        <v>3</v>
      </c>
      <c r="G592" s="8"/>
    </row>
    <row r="593" spans="2:7" ht="12.75">
      <c r="B593" s="5"/>
      <c r="C593" s="6" t="s">
        <v>11</v>
      </c>
      <c r="D593" s="9"/>
      <c r="E593" s="9"/>
      <c r="F593" s="9">
        <v>470231.4</v>
      </c>
      <c r="G593" s="9"/>
    </row>
    <row r="594" spans="2:7" ht="12.75">
      <c r="B594" s="5"/>
      <c r="C594" s="2" t="s">
        <v>12</v>
      </c>
      <c r="D594" s="9"/>
      <c r="E594" s="9"/>
      <c r="F594" s="9">
        <v>458651.21</v>
      </c>
      <c r="G594" s="9"/>
    </row>
    <row r="595" spans="2:7" ht="12.75">
      <c r="B595" s="5"/>
      <c r="C595" s="2" t="s">
        <v>13</v>
      </c>
      <c r="D595" s="9"/>
      <c r="E595" s="9"/>
      <c r="F595" s="9">
        <f>F594-F593</f>
        <v>-11580.190000000002</v>
      </c>
      <c r="G595" s="9"/>
    </row>
    <row r="596" spans="2:7" ht="12.75">
      <c r="B596" s="5">
        <v>3</v>
      </c>
      <c r="C596" s="10" t="s">
        <v>14</v>
      </c>
      <c r="D596" s="1" t="s">
        <v>15</v>
      </c>
      <c r="E596" s="1"/>
      <c r="F596" s="1" t="s">
        <v>15</v>
      </c>
      <c r="G596" s="1"/>
    </row>
    <row r="597" spans="2:7" ht="12.75">
      <c r="B597" s="11" t="s">
        <v>16</v>
      </c>
      <c r="C597" s="11"/>
      <c r="D597" s="13">
        <v>59.2</v>
      </c>
      <c r="E597" s="13">
        <f>D597/1821.15/12*1000</f>
        <v>2.708911036066954</v>
      </c>
      <c r="F597" s="13">
        <v>63.48</v>
      </c>
      <c r="G597" s="13">
        <f>F597/1821.15/12*1000</f>
        <v>2.904757982593416</v>
      </c>
    </row>
    <row r="598" spans="2:7" ht="12.75" customHeight="1">
      <c r="B598" s="14" t="s">
        <v>17</v>
      </c>
      <c r="C598" s="14"/>
      <c r="D598" s="1">
        <f>D599+D600+D601</f>
        <v>122.49000000000001</v>
      </c>
      <c r="E598" s="13">
        <f>D598/1821.15/12*1000</f>
        <v>5.6049748785108315</v>
      </c>
      <c r="F598" s="1">
        <f>F599+F600+F601</f>
        <v>146.56</v>
      </c>
      <c r="G598" s="13">
        <f>F598/1821.15/12*1000</f>
        <v>6.706385159560351</v>
      </c>
    </row>
    <row r="599" spans="2:7" ht="12.75">
      <c r="B599" s="2"/>
      <c r="C599" s="15" t="s">
        <v>18</v>
      </c>
      <c r="D599" s="9">
        <f>91.79+3.3</f>
        <v>95.09</v>
      </c>
      <c r="E599" s="13">
        <f>D599/1821.15/12*1000</f>
        <v>4.351188351682545</v>
      </c>
      <c r="F599" s="9">
        <f>35+8.36+58.5</f>
        <v>101.86</v>
      </c>
      <c r="G599" s="13">
        <f>F599/1821.15/12*1000</f>
        <v>4.660974292800337</v>
      </c>
    </row>
    <row r="600" spans="2:7" ht="12.75">
      <c r="B600" s="2"/>
      <c r="C600" s="15" t="s">
        <v>19</v>
      </c>
      <c r="D600" s="17">
        <v>27.4</v>
      </c>
      <c r="E600" s="13">
        <f>D600/1821.15/12*1000</f>
        <v>1.2537865268282862</v>
      </c>
      <c r="F600" s="17">
        <v>44.7</v>
      </c>
      <c r="G600" s="13">
        <f>F600/1821.15/12*1000</f>
        <v>2.045410866760014</v>
      </c>
    </row>
    <row r="601" spans="2:7" ht="12.75">
      <c r="B601" s="32" t="s">
        <v>20</v>
      </c>
      <c r="C601" s="32"/>
      <c r="D601" s="18">
        <v>0</v>
      </c>
      <c r="E601" s="13">
        <f>D601/1821.15/12*1000</f>
        <v>0</v>
      </c>
      <c r="F601" s="18">
        <v>0</v>
      </c>
      <c r="G601" s="13">
        <f>F601/1821.15/12*1000</f>
        <v>0</v>
      </c>
    </row>
    <row r="602" spans="2:7" ht="12.75" customHeight="1">
      <c r="B602" s="19" t="s">
        <v>21</v>
      </c>
      <c r="C602" s="19"/>
      <c r="D602" s="13">
        <f>D603+D605+D604</f>
        <v>136.57</v>
      </c>
      <c r="E602" s="13">
        <f>D602/1821.15/12*1000</f>
        <v>6.249256422224052</v>
      </c>
      <c r="F602" s="13">
        <f>F603+F605+F604</f>
        <v>137.02</v>
      </c>
      <c r="G602" s="13">
        <f>F602/1821.15/12*1000</f>
        <v>6.269847806788752</v>
      </c>
    </row>
    <row r="603" spans="2:7" ht="12.75">
      <c r="B603" s="2"/>
      <c r="C603" s="15" t="s">
        <v>22</v>
      </c>
      <c r="D603" s="9">
        <v>114.5</v>
      </c>
      <c r="E603" s="13">
        <f>D603/1821.15/12*1000</f>
        <v>5.239363405906524</v>
      </c>
      <c r="F603" s="8">
        <f>81.66+24.9+3.57+11+1.4+5.7+0.18+1.28</f>
        <v>129.69</v>
      </c>
      <c r="G603" s="13">
        <f>F603/1821.15/12*1000</f>
        <v>5.934437031546</v>
      </c>
    </row>
    <row r="604" spans="2:7" ht="12.75">
      <c r="B604" s="2"/>
      <c r="C604" s="15" t="s">
        <v>23</v>
      </c>
      <c r="D604" s="9">
        <v>20.32</v>
      </c>
      <c r="E604" s="13">
        <f>D604/1821.15/12*1000</f>
        <v>0.9298154096770356</v>
      </c>
      <c r="F604" s="9">
        <v>6.8</v>
      </c>
      <c r="G604" s="13">
        <f>F604/1821.15/12*1000</f>
        <v>0.3111587000887717</v>
      </c>
    </row>
    <row r="605" spans="2:7" ht="12.75">
      <c r="B605" s="2"/>
      <c r="C605" s="20" t="s">
        <v>24</v>
      </c>
      <c r="D605" s="9">
        <v>1.75</v>
      </c>
      <c r="E605" s="13">
        <f>D605/1821.15/12*1000</f>
        <v>0.08007760664049272</v>
      </c>
      <c r="F605" s="9">
        <v>0.53</v>
      </c>
      <c r="G605" s="13">
        <f>F605/1821.15/12*1000</f>
        <v>0.024252075153977797</v>
      </c>
    </row>
    <row r="606" spans="2:7" ht="12.75">
      <c r="B606" s="11" t="s">
        <v>25</v>
      </c>
      <c r="C606" s="11"/>
      <c r="D606" s="13">
        <v>12.89</v>
      </c>
      <c r="E606" s="13">
        <f>D606/1821.15/12*1000</f>
        <v>0.5898287711976865</v>
      </c>
      <c r="F606" s="13">
        <v>13.7</v>
      </c>
      <c r="G606" s="13">
        <f>F606/1821.15/12*1000</f>
        <v>0.6268932634141431</v>
      </c>
    </row>
    <row r="607" spans="2:7" ht="12.75">
      <c r="B607" s="21" t="s">
        <v>26</v>
      </c>
      <c r="C607" s="21"/>
      <c r="D607" s="13">
        <v>67.5</v>
      </c>
      <c r="E607" s="13">
        <f>D607/1821.15/12*1000</f>
        <v>3.0887076847047195</v>
      </c>
      <c r="F607" s="1">
        <f>12.2+56.1</f>
        <v>68.3</v>
      </c>
      <c r="G607" s="13">
        <f>F607/1821.15/12*1000</f>
        <v>3.1253145905975157</v>
      </c>
    </row>
    <row r="608" spans="2:7" ht="12.75">
      <c r="B608" s="21"/>
      <c r="C608" s="22" t="s">
        <v>81</v>
      </c>
      <c r="D608" s="13">
        <v>0</v>
      </c>
      <c r="E608" s="13">
        <f>D608/1821.15/12*1000</f>
        <v>0</v>
      </c>
      <c r="F608" s="1">
        <v>32.1</v>
      </c>
      <c r="G608" s="13">
        <f>F608/1821.15/12*1000</f>
        <v>1.4688520989484666</v>
      </c>
    </row>
    <row r="609" spans="2:7" ht="12.75">
      <c r="B609" s="2"/>
      <c r="C609" s="10" t="s">
        <v>28</v>
      </c>
      <c r="D609" s="12">
        <f>D597+D598+D602+D606+D607</f>
        <v>398.65</v>
      </c>
      <c r="E609" s="12">
        <f>E597+E598+E602+E606+E607</f>
        <v>18.241678792704242</v>
      </c>
      <c r="F609" s="13">
        <f>F597+F598+F602+F606+F607+F608</f>
        <v>461.16</v>
      </c>
      <c r="G609" s="13">
        <f>G597+G598+G602+G606+G607+G608</f>
        <v>21.102050901902643</v>
      </c>
    </row>
    <row r="610" spans="2:7" ht="12.75">
      <c r="B610" s="2">
        <v>4</v>
      </c>
      <c r="C610" s="10" t="s">
        <v>29</v>
      </c>
      <c r="D610" s="13">
        <v>39.9</v>
      </c>
      <c r="E610" s="12">
        <v>1.81</v>
      </c>
      <c r="F610" s="12"/>
      <c r="G610" s="12"/>
    </row>
    <row r="611" spans="2:7" ht="12.75">
      <c r="B611" s="5">
        <v>5</v>
      </c>
      <c r="C611" s="10" t="s">
        <v>13</v>
      </c>
      <c r="D611" s="13">
        <f>D609+D610</f>
        <v>438.54999999999995</v>
      </c>
      <c r="E611" s="13">
        <f>E609+E610</f>
        <v>20.05167879270424</v>
      </c>
      <c r="F611" s="13">
        <f>F609-F594/1000</f>
        <v>2.5087899999999763</v>
      </c>
      <c r="G611" s="13"/>
    </row>
    <row r="612" spans="2:7" ht="12.75">
      <c r="B612" s="23"/>
      <c r="C612" s="23"/>
      <c r="D612" s="25"/>
      <c r="E612" s="25"/>
      <c r="F612" s="23"/>
      <c r="G612" s="23"/>
    </row>
    <row r="613" spans="2:7" ht="12.75">
      <c r="B613" s="23"/>
      <c r="C613" s="14" t="s">
        <v>38</v>
      </c>
      <c r="D613" s="25"/>
      <c r="E613" s="25"/>
      <c r="F613" s="5">
        <v>29.4</v>
      </c>
      <c r="G613" s="23"/>
    </row>
    <row r="614" spans="2:7" ht="12.75">
      <c r="B614" s="23" t="s">
        <v>39</v>
      </c>
      <c r="C614" s="23"/>
      <c r="D614" s="23"/>
      <c r="E614" s="23"/>
      <c r="F614" s="23"/>
      <c r="G614" s="23"/>
    </row>
    <row r="616" spans="2:7" ht="12.75">
      <c r="B616" s="1" t="s">
        <v>0</v>
      </c>
      <c r="C616" s="1"/>
      <c r="D616" s="1"/>
      <c r="E616" s="1"/>
      <c r="F616" s="1"/>
      <c r="G616" s="1"/>
    </row>
    <row r="617" spans="2:7" ht="12.75">
      <c r="B617" s="1" t="s">
        <v>51</v>
      </c>
      <c r="C617" s="1"/>
      <c r="D617" s="1"/>
      <c r="E617" s="1"/>
      <c r="F617" s="1"/>
      <c r="G617" s="1"/>
    </row>
    <row r="618" spans="2:7" ht="12.75">
      <c r="B618" s="1" t="s">
        <v>82</v>
      </c>
      <c r="C618" s="1"/>
      <c r="D618" s="1"/>
      <c r="E618" s="1"/>
      <c r="F618" s="1"/>
      <c r="G618" s="1"/>
    </row>
    <row r="619" spans="2:7" ht="12.75" customHeight="1">
      <c r="B619" s="2"/>
      <c r="C619" s="2" t="s">
        <v>3</v>
      </c>
      <c r="D619" s="3" t="s">
        <v>41</v>
      </c>
      <c r="E619" s="3"/>
      <c r="F619" s="4" t="s">
        <v>5</v>
      </c>
      <c r="G619" s="4"/>
    </row>
    <row r="620" spans="2:7" ht="12.75">
      <c r="B620" s="2"/>
      <c r="C620" s="2"/>
      <c r="D620" s="3" t="s">
        <v>6</v>
      </c>
      <c r="E620" s="3" t="s">
        <v>7</v>
      </c>
      <c r="F620" s="3" t="s">
        <v>6</v>
      </c>
      <c r="G620" s="3" t="s">
        <v>8</v>
      </c>
    </row>
    <row r="621" spans="2:7" ht="12.75">
      <c r="B621" s="5">
        <v>1</v>
      </c>
      <c r="C621" s="6" t="s">
        <v>9</v>
      </c>
      <c r="D621" s="1">
        <v>1447.4</v>
      </c>
      <c r="E621" s="1"/>
      <c r="F621" s="1">
        <v>1447.4</v>
      </c>
      <c r="G621" s="1"/>
    </row>
    <row r="622" spans="2:7" ht="12.75">
      <c r="B622" s="5">
        <v>2</v>
      </c>
      <c r="C622" s="7" t="s">
        <v>83</v>
      </c>
      <c r="D622" s="8"/>
      <c r="E622" s="8"/>
      <c r="F622" s="8" t="s">
        <v>3</v>
      </c>
      <c r="G622" s="8"/>
    </row>
    <row r="623" spans="2:7" ht="12.75">
      <c r="B623" s="5"/>
      <c r="C623" s="2" t="s">
        <v>49</v>
      </c>
      <c r="D623" s="9"/>
      <c r="E623" s="9"/>
      <c r="F623" s="9">
        <v>348261.86</v>
      </c>
      <c r="G623" s="9"/>
    </row>
    <row r="624" spans="2:7" ht="12.75">
      <c r="B624" s="5"/>
      <c r="C624" s="2" t="s">
        <v>50</v>
      </c>
      <c r="D624" s="9"/>
      <c r="E624" s="9"/>
      <c r="F624" s="9">
        <v>328479.64</v>
      </c>
      <c r="G624" s="9"/>
    </row>
    <row r="625" spans="2:7" ht="12.75">
      <c r="B625" s="5"/>
      <c r="C625" s="2" t="s">
        <v>13</v>
      </c>
      <c r="D625" s="9"/>
      <c r="E625" s="9"/>
      <c r="F625" s="9">
        <f>F624-F623</f>
        <v>-19782.219999999972</v>
      </c>
      <c r="G625" s="9"/>
    </row>
    <row r="626" spans="2:7" ht="12.75">
      <c r="B626" s="5">
        <v>3</v>
      </c>
      <c r="C626" s="10" t="s">
        <v>14</v>
      </c>
      <c r="D626" s="1" t="s">
        <v>15</v>
      </c>
      <c r="E626" s="1"/>
      <c r="F626" s="1" t="s">
        <v>15</v>
      </c>
      <c r="G626" s="1"/>
    </row>
    <row r="627" spans="2:7" ht="12.75">
      <c r="B627" s="11" t="s">
        <v>16</v>
      </c>
      <c r="C627" s="11"/>
      <c r="D627" s="13">
        <v>47.07</v>
      </c>
      <c r="E627" s="13">
        <f>D627/1447.4/12*1000</f>
        <v>2.7100317811247754</v>
      </c>
      <c r="F627" s="13">
        <v>47.02</v>
      </c>
      <c r="G627" s="13">
        <f>F627/1447.4/12*1000</f>
        <v>2.7071530560545347</v>
      </c>
    </row>
    <row r="628" spans="2:7" ht="12.75" customHeight="1">
      <c r="B628" s="14" t="s">
        <v>17</v>
      </c>
      <c r="C628" s="14"/>
      <c r="D628" s="1">
        <f>D629+D630+D631</f>
        <v>97.39999999999999</v>
      </c>
      <c r="E628" s="13">
        <f>D628/1447.4/12*1000</f>
        <v>5.6077564368292565</v>
      </c>
      <c r="F628" s="1">
        <f>F629+F630+F631</f>
        <v>92.19999999999999</v>
      </c>
      <c r="G628" s="13">
        <f>F628/1447.4/12*1000</f>
        <v>5.3083690295242025</v>
      </c>
    </row>
    <row r="629" spans="2:7" ht="12.75">
      <c r="B629" s="2"/>
      <c r="C629" s="15" t="s">
        <v>18</v>
      </c>
      <c r="D629" s="9">
        <v>75.6</v>
      </c>
      <c r="E629" s="13">
        <f>D629/1447.4/12*1000</f>
        <v>4.352632306204228</v>
      </c>
      <c r="F629" s="9">
        <f>27.8+1.33+46.5</f>
        <v>75.63</v>
      </c>
      <c r="G629" s="13">
        <f>F629/1447.4/12*1000</f>
        <v>4.354359541246372</v>
      </c>
    </row>
    <row r="630" spans="2:7" ht="12.75">
      <c r="B630" s="2"/>
      <c r="C630" s="15" t="s">
        <v>19</v>
      </c>
      <c r="D630" s="17">
        <v>21.8</v>
      </c>
      <c r="E630" s="13">
        <f>D630/1447.4/12*1000</f>
        <v>1.2551241306250287</v>
      </c>
      <c r="F630" s="17">
        <v>16.57</v>
      </c>
      <c r="G630" s="13">
        <f>F630/1447.4/12*1000</f>
        <v>0.9540094882778315</v>
      </c>
    </row>
    <row r="631" spans="2:7" ht="12.75">
      <c r="B631" s="32" t="s">
        <v>20</v>
      </c>
      <c r="C631" s="32"/>
      <c r="D631" s="18">
        <v>0</v>
      </c>
      <c r="E631" s="13">
        <f>D631/1447.4/12*1000</f>
        <v>0</v>
      </c>
      <c r="F631" s="18">
        <v>0</v>
      </c>
      <c r="G631" s="13">
        <f>F631/1447.4/12*1000</f>
        <v>0</v>
      </c>
    </row>
    <row r="632" spans="2:7" ht="12.75" customHeight="1">
      <c r="B632" s="19" t="s">
        <v>21</v>
      </c>
      <c r="C632" s="19"/>
      <c r="D632" s="13">
        <f>D633+D635+D634</f>
        <v>108.53999999999999</v>
      </c>
      <c r="E632" s="13">
        <f>D632/1447.4/12*1000</f>
        <v>6.249136382478927</v>
      </c>
      <c r="F632" s="13">
        <f>F633+F635+F634</f>
        <v>113.98000000000002</v>
      </c>
      <c r="G632" s="13">
        <f>F632/1447.4/12*1000</f>
        <v>6.562341670121137</v>
      </c>
    </row>
    <row r="633" spans="2:7" ht="12.75">
      <c r="B633" s="2"/>
      <c r="C633" s="15" t="s">
        <v>22</v>
      </c>
      <c r="D633" s="9">
        <v>91</v>
      </c>
      <c r="E633" s="13">
        <f>D633/1447.4/12*1000</f>
        <v>5.239279627838423</v>
      </c>
      <c r="F633" s="8">
        <f>64.9+19.8+2.84+8.75+1.18+3.68+0.15+1.02</f>
        <v>102.32000000000002</v>
      </c>
      <c r="G633" s="13">
        <f>F633/1447.4/12*1000</f>
        <v>5.891022983740962</v>
      </c>
    </row>
    <row r="634" spans="2:7" ht="12.75">
      <c r="B634" s="2"/>
      <c r="C634" s="15" t="s">
        <v>23</v>
      </c>
      <c r="D634" s="9">
        <v>16.15</v>
      </c>
      <c r="E634" s="13">
        <f>D634/1447.4/12*1000</f>
        <v>0.9298281976878078</v>
      </c>
      <c r="F634" s="9">
        <v>11.41</v>
      </c>
      <c r="G634" s="13">
        <f>F634/1447.4/12*1000</f>
        <v>0.6569250610289714</v>
      </c>
    </row>
    <row r="635" spans="2:7" ht="12.75">
      <c r="B635" s="2"/>
      <c r="C635" s="20" t="s">
        <v>24</v>
      </c>
      <c r="D635" s="9">
        <v>1.39</v>
      </c>
      <c r="E635" s="13">
        <f>D635/1447.4/12*1000</f>
        <v>0.08002855695269678</v>
      </c>
      <c r="F635" s="9">
        <v>0.25</v>
      </c>
      <c r="G635" s="13">
        <f>F635/1447.4/12*1000</f>
        <v>0.014393625351204456</v>
      </c>
    </row>
    <row r="636" spans="2:7" ht="12.75">
      <c r="B636" s="11" t="s">
        <v>25</v>
      </c>
      <c r="C636" s="11"/>
      <c r="D636" s="13">
        <v>10.25</v>
      </c>
      <c r="E636" s="13">
        <f>D636/1447.4/12*1000</f>
        <v>0.5901386393993827</v>
      </c>
      <c r="F636" s="13">
        <v>9.84</v>
      </c>
      <c r="G636" s="13">
        <f>F636/1447.4/12*1000</f>
        <v>0.5665330938234074</v>
      </c>
    </row>
    <row r="637" spans="2:7" ht="12.75">
      <c r="B637" s="21" t="s">
        <v>26</v>
      </c>
      <c r="C637" s="21"/>
      <c r="D637" s="13">
        <v>53.67</v>
      </c>
      <c r="E637" s="13">
        <f>D637/1447.4/12*1000</f>
        <v>3.090023490396573</v>
      </c>
      <c r="F637" s="1">
        <f>9.73+44.6</f>
        <v>54.33</v>
      </c>
      <c r="G637" s="13">
        <f>F637/1447.4/12*1000</f>
        <v>3.1280226613237527</v>
      </c>
    </row>
    <row r="638" spans="2:7" ht="12.75">
      <c r="B638" s="2"/>
      <c r="C638" s="10" t="s">
        <v>28</v>
      </c>
      <c r="D638" s="12">
        <f>D627+D628+D632+D636+D637</f>
        <v>316.93</v>
      </c>
      <c r="E638" s="12">
        <f>E627+E628+E632+E636+E637</f>
        <v>18.247086730228915</v>
      </c>
      <c r="F638" s="13">
        <f>F627+F628+F632+F636+F637</f>
        <v>317.37</v>
      </c>
      <c r="G638" s="13">
        <f>G627+G628+G632+G636+G637</f>
        <v>18.272419510847037</v>
      </c>
    </row>
    <row r="639" spans="2:7" ht="12.75">
      <c r="B639" s="2">
        <v>4</v>
      </c>
      <c r="C639" s="10" t="s">
        <v>29</v>
      </c>
      <c r="D639" s="13">
        <v>31.67</v>
      </c>
      <c r="E639" s="12">
        <v>1.8</v>
      </c>
      <c r="F639" s="12"/>
      <c r="G639" s="12"/>
    </row>
    <row r="640" spans="2:7" ht="12.75">
      <c r="B640" s="5">
        <v>5</v>
      </c>
      <c r="C640" s="10" t="s">
        <v>13</v>
      </c>
      <c r="D640" s="13">
        <f>D638+D639</f>
        <v>348.6</v>
      </c>
      <c r="E640" s="13">
        <f>E638+E639</f>
        <v>20.047086730228916</v>
      </c>
      <c r="F640" s="13">
        <f>F638-F624/1000</f>
        <v>-11.109640000000013</v>
      </c>
      <c r="G640" s="13"/>
    </row>
    <row r="641" spans="2:7" ht="12.75">
      <c r="B641" s="23"/>
      <c r="C641" s="23"/>
      <c r="D641" s="25"/>
      <c r="E641" s="25"/>
      <c r="F641" s="23"/>
      <c r="G641" s="23"/>
    </row>
    <row r="642" spans="2:7" ht="12.75">
      <c r="B642" s="11" t="s">
        <v>30</v>
      </c>
      <c r="C642" s="11"/>
      <c r="D642" s="27"/>
      <c r="E642" s="25"/>
      <c r="F642" s="25"/>
      <c r="G642" s="25"/>
    </row>
    <row r="643" spans="2:7" ht="12.75">
      <c r="B643" s="25"/>
      <c r="C643" s="34" t="s">
        <v>31</v>
      </c>
      <c r="D643" s="35">
        <v>17701.81</v>
      </c>
      <c r="E643" s="25"/>
      <c r="F643" s="25"/>
      <c r="G643" s="25"/>
    </row>
    <row r="644" spans="2:7" ht="12.75">
      <c r="B644" s="5"/>
      <c r="C644" s="23" t="s">
        <v>32</v>
      </c>
      <c r="D644" s="35">
        <v>18126.42</v>
      </c>
      <c r="E644" s="25"/>
      <c r="F644" s="25"/>
      <c r="G644" s="25"/>
    </row>
    <row r="645" spans="2:7" ht="12.75">
      <c r="B645" s="5"/>
      <c r="C645" s="36" t="s">
        <v>13</v>
      </c>
      <c r="D645" s="33">
        <f>D644-D643</f>
        <v>424.60999999999694</v>
      </c>
      <c r="E645" s="25"/>
      <c r="F645" s="25"/>
      <c r="G645" s="25"/>
    </row>
    <row r="646" spans="2:7" ht="12.75">
      <c r="B646" s="5"/>
      <c r="C646" s="34" t="s">
        <v>33</v>
      </c>
      <c r="D646" s="35">
        <v>19626.96</v>
      </c>
      <c r="E646" s="25"/>
      <c r="F646" s="25"/>
      <c r="G646" s="25"/>
    </row>
    <row r="647" spans="2:7" ht="12.75">
      <c r="B647" s="5"/>
      <c r="C647" s="23" t="s">
        <v>34</v>
      </c>
      <c r="D647" s="35">
        <v>20267.17</v>
      </c>
      <c r="E647" s="25"/>
      <c r="F647" s="25"/>
      <c r="G647" s="25"/>
    </row>
    <row r="648" spans="2:7" ht="12.75">
      <c r="B648" s="5"/>
      <c r="C648" s="36" t="s">
        <v>13</v>
      </c>
      <c r="D648" s="33">
        <f>D647-D646</f>
        <v>640.2099999999991</v>
      </c>
      <c r="E648" s="25"/>
      <c r="F648" s="25"/>
      <c r="G648" s="25"/>
    </row>
    <row r="649" spans="2:7" ht="12.75">
      <c r="B649" s="5"/>
      <c r="C649" s="34" t="s">
        <v>42</v>
      </c>
      <c r="D649" s="35">
        <v>10898.94</v>
      </c>
      <c r="E649" s="25"/>
      <c r="F649" s="25"/>
      <c r="G649" s="25"/>
    </row>
    <row r="650" spans="2:7" ht="12.75">
      <c r="B650" s="5"/>
      <c r="C650" s="23" t="s">
        <v>43</v>
      </c>
      <c r="D650" s="35">
        <v>8895.08</v>
      </c>
      <c r="E650" s="25"/>
      <c r="F650" s="25"/>
      <c r="G650" s="25"/>
    </row>
    <row r="651" spans="2:7" ht="12.75">
      <c r="B651" s="5"/>
      <c r="C651" s="36" t="s">
        <v>13</v>
      </c>
      <c r="D651" s="33">
        <f>D650-D649</f>
        <v>-2003.8600000000006</v>
      </c>
      <c r="E651" s="25"/>
      <c r="F651" s="25"/>
      <c r="G651" s="25"/>
    </row>
    <row r="652" spans="2:7" ht="12.75">
      <c r="B652" s="11"/>
      <c r="C652" s="11" t="s">
        <v>35</v>
      </c>
      <c r="D652" s="27">
        <f>D645+D648+D651</f>
        <v>-939.0400000000045</v>
      </c>
      <c r="E652" s="25"/>
      <c r="F652" s="25"/>
      <c r="G652" s="25"/>
    </row>
    <row r="653" spans="2:7" ht="12.75">
      <c r="B653" s="11"/>
      <c r="C653" s="11"/>
      <c r="D653" s="27"/>
      <c r="E653" s="25"/>
      <c r="F653" s="25"/>
      <c r="G653" s="25"/>
    </row>
    <row r="654" spans="2:7" ht="12.75">
      <c r="B654" s="11"/>
      <c r="C654" s="14" t="s">
        <v>44</v>
      </c>
      <c r="D654" s="27" t="s">
        <v>37</v>
      </c>
      <c r="E654" s="25"/>
      <c r="F654" s="24">
        <v>-10.16</v>
      </c>
      <c r="G654" s="25"/>
    </row>
    <row r="655" spans="2:7" ht="12.75">
      <c r="B655" s="11"/>
      <c r="C655" s="14" t="s">
        <v>38</v>
      </c>
      <c r="D655" s="27"/>
      <c r="E655" s="25"/>
      <c r="F655" s="24">
        <v>133.2</v>
      </c>
      <c r="G655" s="25"/>
    </row>
    <row r="656" spans="2:7" ht="12.75">
      <c r="B656" s="23" t="s">
        <v>39</v>
      </c>
      <c r="C656" s="23"/>
      <c r="D656" s="23"/>
      <c r="E656" s="23"/>
      <c r="F656" s="23"/>
      <c r="G656" s="23"/>
    </row>
    <row r="658" spans="2:7" ht="12.75">
      <c r="B658" s="1" t="s">
        <v>0</v>
      </c>
      <c r="C658" s="1"/>
      <c r="D658" s="1"/>
      <c r="E658" s="1"/>
      <c r="F658" s="1"/>
      <c r="G658" s="1"/>
    </row>
    <row r="659" spans="2:7" ht="12.75">
      <c r="B659" s="1" t="s">
        <v>51</v>
      </c>
      <c r="C659" s="1"/>
      <c r="D659" s="1"/>
      <c r="E659" s="1"/>
      <c r="F659" s="1"/>
      <c r="G659" s="1"/>
    </row>
    <row r="660" spans="2:7" ht="12.75">
      <c r="B660" s="1" t="s">
        <v>84</v>
      </c>
      <c r="C660" s="1"/>
      <c r="D660" s="1"/>
      <c r="E660" s="1"/>
      <c r="F660" s="1"/>
      <c r="G660" s="1"/>
    </row>
    <row r="661" spans="2:7" ht="12.75" customHeight="1">
      <c r="B661" s="2"/>
      <c r="C661" s="2" t="s">
        <v>3</v>
      </c>
      <c r="D661" s="3" t="s">
        <v>41</v>
      </c>
      <c r="E661" s="3"/>
      <c r="F661" s="4" t="s">
        <v>5</v>
      </c>
      <c r="G661" s="4"/>
    </row>
    <row r="662" spans="2:7" ht="12.75">
      <c r="B662" s="2"/>
      <c r="C662" s="2"/>
      <c r="D662" s="3" t="s">
        <v>6</v>
      </c>
      <c r="E662" s="3" t="s">
        <v>7</v>
      </c>
      <c r="F662" s="3" t="s">
        <v>6</v>
      </c>
      <c r="G662" s="3" t="s">
        <v>8</v>
      </c>
    </row>
    <row r="663" spans="2:7" ht="12.75">
      <c r="B663" s="5">
        <v>1</v>
      </c>
      <c r="C663" s="6" t="s">
        <v>9</v>
      </c>
      <c r="D663" s="1">
        <v>958.18</v>
      </c>
      <c r="E663" s="1"/>
      <c r="F663" s="1">
        <v>958.18</v>
      </c>
      <c r="G663" s="1"/>
    </row>
    <row r="664" spans="2:7" ht="12.75">
      <c r="B664" s="5">
        <v>2</v>
      </c>
      <c r="C664" s="7" t="s">
        <v>48</v>
      </c>
      <c r="D664" s="8"/>
      <c r="E664" s="8"/>
      <c r="F664" s="8" t="s">
        <v>3</v>
      </c>
      <c r="G664" s="8"/>
    </row>
    <row r="665" spans="2:7" ht="12.75">
      <c r="B665" s="5"/>
      <c r="C665" s="2" t="s">
        <v>49</v>
      </c>
      <c r="D665" s="9"/>
      <c r="E665" s="9"/>
      <c r="F665" s="9">
        <v>312113.2</v>
      </c>
      <c r="G665" s="9"/>
    </row>
    <row r="666" spans="2:7" ht="12.75">
      <c r="B666" s="5"/>
      <c r="C666" s="2" t="s">
        <v>50</v>
      </c>
      <c r="D666" s="9"/>
      <c r="E666" s="9"/>
      <c r="F666" s="9">
        <v>330997.07</v>
      </c>
      <c r="G666" s="9"/>
    </row>
    <row r="667" spans="2:7" ht="12.75">
      <c r="B667" s="5"/>
      <c r="C667" s="2" t="s">
        <v>13</v>
      </c>
      <c r="D667" s="9"/>
      <c r="E667" s="9"/>
      <c r="F667" s="9">
        <f>F666-F665</f>
        <v>18883.869999999995</v>
      </c>
      <c r="G667" s="9"/>
    </row>
    <row r="668" spans="2:7" ht="12.75">
      <c r="B668" s="5">
        <v>3</v>
      </c>
      <c r="C668" s="10" t="s">
        <v>14</v>
      </c>
      <c r="D668" s="1" t="s">
        <v>15</v>
      </c>
      <c r="E668" s="1"/>
      <c r="F668" s="1" t="s">
        <v>15</v>
      </c>
      <c r="G668" s="1"/>
    </row>
    <row r="669" spans="2:7" ht="12.75">
      <c r="B669" s="11" t="s">
        <v>16</v>
      </c>
      <c r="C669" s="11"/>
      <c r="D669" s="13">
        <v>41.2</v>
      </c>
      <c r="E669" s="13">
        <f>D669/958.18/12*1000</f>
        <v>3.583182004772938</v>
      </c>
      <c r="F669" s="13">
        <v>42.14</v>
      </c>
      <c r="G669" s="13">
        <f>F669/958.18/12*1000</f>
        <v>3.6649342155614466</v>
      </c>
    </row>
    <row r="670" spans="2:7" ht="12.75" customHeight="1">
      <c r="B670" s="14" t="s">
        <v>17</v>
      </c>
      <c r="C670" s="14"/>
      <c r="D670" s="1">
        <f>D671+D672+D673</f>
        <v>128.34</v>
      </c>
      <c r="E670" s="13">
        <f>D670/958.18/12*1000</f>
        <v>11.161785885741718</v>
      </c>
      <c r="F670" s="1">
        <f>F671+F672+F673</f>
        <v>77.44</v>
      </c>
      <c r="G670" s="13">
        <f>F670/958.18/12*1000</f>
        <v>6.734990641980978</v>
      </c>
    </row>
    <row r="671" spans="2:7" ht="12.75">
      <c r="B671" s="2"/>
      <c r="C671" s="15" t="s">
        <v>18</v>
      </c>
      <c r="D671" s="9">
        <v>50.04</v>
      </c>
      <c r="E671" s="13">
        <f>D671/958.18/12*1000</f>
        <v>4.352000667932956</v>
      </c>
      <c r="F671" s="9">
        <f>18.4+1.36+30.78</f>
        <v>50.54</v>
      </c>
      <c r="G671" s="13">
        <f>F671/958.18/12*1000</f>
        <v>4.395485886437482</v>
      </c>
    </row>
    <row r="672" spans="2:7" ht="12.75">
      <c r="B672" s="2"/>
      <c r="C672" s="15" t="s">
        <v>19</v>
      </c>
      <c r="D672" s="17">
        <v>78.3</v>
      </c>
      <c r="E672" s="13">
        <f>D672/958.18/12*1000</f>
        <v>6.809785217808763</v>
      </c>
      <c r="F672" s="17">
        <f>22.4+4.5</f>
        <v>26.9</v>
      </c>
      <c r="G672" s="13">
        <f>F672/958.18/12*1000</f>
        <v>2.3395047555434956</v>
      </c>
    </row>
    <row r="673" spans="2:7" ht="12.75">
      <c r="B673" s="32" t="s">
        <v>20</v>
      </c>
      <c r="C673" s="32"/>
      <c r="D673" s="18">
        <v>0</v>
      </c>
      <c r="E673" s="13">
        <f>D673/958.18/12*1000</f>
        <v>0</v>
      </c>
      <c r="F673" s="18">
        <v>0</v>
      </c>
      <c r="G673" s="13">
        <f>F673/958.18/12*1000</f>
        <v>0</v>
      </c>
    </row>
    <row r="674" spans="2:7" ht="12.75" customHeight="1">
      <c r="B674" s="19" t="s">
        <v>21</v>
      </c>
      <c r="C674" s="19"/>
      <c r="D674" s="13">
        <f>D675+D677+D676</f>
        <v>71.87</v>
      </c>
      <c r="E674" s="13">
        <f>D674/958.18/12*1000</f>
        <v>6.250565307840559</v>
      </c>
      <c r="F674" s="13">
        <f>F675+F677+F676</f>
        <v>75.18</v>
      </c>
      <c r="G674" s="13">
        <f>F674/958.18/12*1000</f>
        <v>6.538437454340521</v>
      </c>
    </row>
    <row r="675" spans="2:7" ht="12.75">
      <c r="B675" s="2"/>
      <c r="C675" s="15" t="s">
        <v>22</v>
      </c>
      <c r="D675" s="9">
        <v>60.25</v>
      </c>
      <c r="E675" s="13">
        <f>D675/958.18/12*1000</f>
        <v>5.239968829795376</v>
      </c>
      <c r="F675" s="8">
        <f>43+13.1+1.88+5.8+0.78+2.97+6.2+0.1+0.67</f>
        <v>74.5</v>
      </c>
      <c r="G675" s="13">
        <f>F675/958.18/12*1000</f>
        <v>6.479297557174365</v>
      </c>
    </row>
    <row r="676" spans="2:7" ht="12.75">
      <c r="B676" s="2"/>
      <c r="C676" s="15" t="s">
        <v>23</v>
      </c>
      <c r="D676" s="9">
        <v>10.7</v>
      </c>
      <c r="E676" s="13">
        <f>D676/958.18/12*1000</f>
        <v>0.9305836759968552</v>
      </c>
      <c r="F676" s="9">
        <v>0.68</v>
      </c>
      <c r="G676" s="13">
        <f>F676/958.18/12*1000</f>
        <v>0.05913989716615529</v>
      </c>
    </row>
    <row r="677" spans="2:7" ht="12.75">
      <c r="B677" s="2"/>
      <c r="C677" s="20" t="s">
        <v>24</v>
      </c>
      <c r="D677" s="9">
        <v>0.92</v>
      </c>
      <c r="E677" s="13">
        <f>D677/958.18/12*1000</f>
        <v>0.08001280204832774</v>
      </c>
      <c r="F677" s="9">
        <v>0</v>
      </c>
      <c r="G677" s="13">
        <f>F677/958.18/12*1000</f>
        <v>0</v>
      </c>
    </row>
    <row r="678" spans="2:7" ht="12.75">
      <c r="B678" s="11" t="s">
        <v>25</v>
      </c>
      <c r="C678" s="11"/>
      <c r="D678" s="13">
        <v>6.9</v>
      </c>
      <c r="E678" s="13">
        <f>D678/958.18/12*1000</f>
        <v>0.600096015362458</v>
      </c>
      <c r="F678" s="13">
        <v>9.9</v>
      </c>
      <c r="G678" s="13">
        <f>F678/958.18/12*1000</f>
        <v>0.8610073263896136</v>
      </c>
    </row>
    <row r="679" spans="2:7" ht="12.75">
      <c r="B679" s="21" t="s">
        <v>26</v>
      </c>
      <c r="C679" s="21"/>
      <c r="D679" s="13">
        <v>35.5</v>
      </c>
      <c r="E679" s="13">
        <f>D679/958.18/12*1000</f>
        <v>3.087450513821342</v>
      </c>
      <c r="F679" s="1">
        <f>6.44+29.55</f>
        <v>35.99</v>
      </c>
      <c r="G679" s="13">
        <f>F679/958.18/12*1000</f>
        <v>3.1300660279557775</v>
      </c>
    </row>
    <row r="680" spans="2:7" ht="12.75">
      <c r="B680" s="2"/>
      <c r="C680" s="10" t="s">
        <v>28</v>
      </c>
      <c r="D680" s="12">
        <f>D669+D670+D674+D678+D679</f>
        <v>283.81000000000006</v>
      </c>
      <c r="E680" s="12">
        <f>E669+E670+E674+E678+E679</f>
        <v>24.683079727539013</v>
      </c>
      <c r="F680" s="13">
        <f>F669+F670+F674+F678+F679</f>
        <v>240.65</v>
      </c>
      <c r="G680" s="13">
        <f>F680/960.5/12*1000</f>
        <v>20.878882526461915</v>
      </c>
    </row>
    <row r="681" spans="2:7" ht="12.75">
      <c r="B681" s="2">
        <v>4</v>
      </c>
      <c r="C681" s="10" t="s">
        <v>29</v>
      </c>
      <c r="D681" s="13">
        <v>28.38</v>
      </c>
      <c r="E681" s="13">
        <v>2.47</v>
      </c>
      <c r="F681" s="12"/>
      <c r="G681" s="12"/>
    </row>
    <row r="682" spans="2:7" ht="12.75">
      <c r="B682" s="5">
        <v>5</v>
      </c>
      <c r="C682" s="10" t="s">
        <v>13</v>
      </c>
      <c r="D682" s="13">
        <f>D680+D681</f>
        <v>312.19000000000005</v>
      </c>
      <c r="E682" s="13">
        <f>E680+E681</f>
        <v>27.153079727539012</v>
      </c>
      <c r="F682" s="13">
        <f>F680-F666/1000</f>
        <v>-90.34707</v>
      </c>
      <c r="G682" s="13"/>
    </row>
    <row r="683" spans="2:7" ht="12.75">
      <c r="B683" s="23"/>
      <c r="C683" s="23"/>
      <c r="D683" s="25"/>
      <c r="E683" s="25"/>
      <c r="F683" s="23"/>
      <c r="G683" s="23"/>
    </row>
    <row r="684" spans="2:7" ht="12.75">
      <c r="B684" s="23"/>
      <c r="C684" s="14" t="s">
        <v>38</v>
      </c>
      <c r="D684" s="25"/>
      <c r="E684" s="25"/>
      <c r="F684" s="27">
        <v>38</v>
      </c>
      <c r="G684" s="23"/>
    </row>
    <row r="685" spans="2:7" ht="12.75">
      <c r="B685" s="23" t="s">
        <v>59</v>
      </c>
      <c r="C685" s="23"/>
      <c r="D685" s="23"/>
      <c r="E685" s="23"/>
      <c r="F685" s="23"/>
      <c r="G685" s="23"/>
    </row>
    <row r="687" spans="2:7" ht="12.75">
      <c r="B687" s="1" t="s">
        <v>0</v>
      </c>
      <c r="C687" s="1"/>
      <c r="D687" s="1"/>
      <c r="E687" s="1"/>
      <c r="F687" s="1"/>
      <c r="G687" s="1"/>
    </row>
    <row r="688" spans="2:7" ht="12.75">
      <c r="B688" s="1" t="s">
        <v>51</v>
      </c>
      <c r="C688" s="1"/>
      <c r="D688" s="1"/>
      <c r="E688" s="1"/>
      <c r="F688" s="1"/>
      <c r="G688" s="1"/>
    </row>
    <row r="689" spans="2:7" ht="12.75">
      <c r="B689" s="1" t="s">
        <v>85</v>
      </c>
      <c r="C689" s="1"/>
      <c r="D689" s="1"/>
      <c r="E689" s="1"/>
      <c r="F689" s="1"/>
      <c r="G689" s="1"/>
    </row>
    <row r="690" spans="2:7" ht="12.75" customHeight="1">
      <c r="B690" s="2"/>
      <c r="C690" s="2" t="s">
        <v>3</v>
      </c>
      <c r="D690" s="3" t="s">
        <v>41</v>
      </c>
      <c r="E690" s="3"/>
      <c r="F690" s="4" t="s">
        <v>5</v>
      </c>
      <c r="G690" s="4"/>
    </row>
    <row r="691" spans="2:7" ht="12.75">
      <c r="B691" s="2"/>
      <c r="C691" s="2"/>
      <c r="D691" s="3" t="s">
        <v>6</v>
      </c>
      <c r="E691" s="3" t="s">
        <v>7</v>
      </c>
      <c r="F691" s="3" t="s">
        <v>6</v>
      </c>
      <c r="G691" s="3" t="s">
        <v>8</v>
      </c>
    </row>
    <row r="692" spans="2:7" ht="12.75">
      <c r="B692" s="5">
        <v>1</v>
      </c>
      <c r="C692" s="6" t="s">
        <v>9</v>
      </c>
      <c r="D692" s="1">
        <v>1946.6</v>
      </c>
      <c r="E692" s="1"/>
      <c r="F692" s="1">
        <v>1946.6</v>
      </c>
      <c r="G692" s="1"/>
    </row>
    <row r="693" spans="2:7" ht="12.75">
      <c r="B693" s="5">
        <v>2</v>
      </c>
      <c r="C693" s="7" t="s">
        <v>64</v>
      </c>
      <c r="D693" s="8"/>
      <c r="E693" s="8"/>
      <c r="F693" s="8" t="s">
        <v>3</v>
      </c>
      <c r="G693" s="8"/>
    </row>
    <row r="694" spans="2:7" ht="12.75">
      <c r="B694" s="5"/>
      <c r="C694" s="2" t="s">
        <v>49</v>
      </c>
      <c r="D694" s="9"/>
      <c r="E694" s="9"/>
      <c r="F694" s="9">
        <v>468351.96</v>
      </c>
      <c r="G694" s="9"/>
    </row>
    <row r="695" spans="2:7" ht="12.75">
      <c r="B695" s="5"/>
      <c r="C695" s="2" t="s">
        <v>50</v>
      </c>
      <c r="D695" s="9"/>
      <c r="E695" s="9"/>
      <c r="F695" s="9">
        <v>451470.06</v>
      </c>
      <c r="G695" s="9"/>
    </row>
    <row r="696" spans="2:7" ht="12.75">
      <c r="B696" s="5"/>
      <c r="C696" s="2" t="s">
        <v>13</v>
      </c>
      <c r="D696" s="9"/>
      <c r="E696" s="9"/>
      <c r="F696" s="9">
        <f>F695-F694</f>
        <v>-16881.900000000023</v>
      </c>
      <c r="G696" s="9"/>
    </row>
    <row r="697" spans="2:7" ht="12.75">
      <c r="B697" s="5">
        <v>3</v>
      </c>
      <c r="C697" s="10" t="s">
        <v>14</v>
      </c>
      <c r="D697" s="1" t="s">
        <v>15</v>
      </c>
      <c r="E697" s="1"/>
      <c r="F697" s="1" t="s">
        <v>15</v>
      </c>
      <c r="G697" s="1"/>
    </row>
    <row r="698" spans="2:7" ht="12.75">
      <c r="B698" s="11" t="s">
        <v>16</v>
      </c>
      <c r="C698" s="11"/>
      <c r="D698" s="13">
        <v>63.3</v>
      </c>
      <c r="E698" s="13">
        <f>D698/1946.6/12*1000</f>
        <v>2.709853077160177</v>
      </c>
      <c r="F698" s="13">
        <v>63.3</v>
      </c>
      <c r="G698" s="13">
        <f>F698/1946.6/12*1000</f>
        <v>2.709853077160177</v>
      </c>
    </row>
    <row r="699" spans="2:7" ht="12.75" customHeight="1">
      <c r="B699" s="14" t="s">
        <v>17</v>
      </c>
      <c r="C699" s="14"/>
      <c r="D699" s="1">
        <f>D700+D701+D702</f>
        <v>130.79999999999998</v>
      </c>
      <c r="E699" s="13">
        <f>D699/1946.6/12*1000</f>
        <v>5.599506832425768</v>
      </c>
      <c r="F699" s="1">
        <f>F700+F701+F702</f>
        <v>205.51000000000002</v>
      </c>
      <c r="G699" s="13">
        <f>F699/1946.6/12*1000</f>
        <v>8.79781841843899</v>
      </c>
    </row>
    <row r="700" spans="2:7" ht="12.75">
      <c r="B700" s="2"/>
      <c r="C700" s="15" t="s">
        <v>18</v>
      </c>
      <c r="D700" s="9">
        <v>101.6</v>
      </c>
      <c r="E700" s="13">
        <f>D700/1946.6/12*1000</f>
        <v>4.349464022740505</v>
      </c>
      <c r="F700" s="9">
        <f>37.37+5.44+62.5</f>
        <v>105.31</v>
      </c>
      <c r="G700" s="13">
        <f>F700/1946.6/12*1000</f>
        <v>4.508287955066955</v>
      </c>
    </row>
    <row r="701" spans="2:7" ht="12.75">
      <c r="B701" s="2"/>
      <c r="C701" s="15" t="s">
        <v>19</v>
      </c>
      <c r="D701" s="17">
        <v>29.2</v>
      </c>
      <c r="E701" s="13">
        <f>D701/1946.6/12*1000</f>
        <v>1.2500428096852634</v>
      </c>
      <c r="F701" s="17">
        <v>98.8</v>
      </c>
      <c r="G701" s="13">
        <f>F701/1946.6/12*1000</f>
        <v>4.229596904003562</v>
      </c>
    </row>
    <row r="702" spans="2:7" ht="12.75">
      <c r="B702" s="32" t="s">
        <v>20</v>
      </c>
      <c r="C702" s="32"/>
      <c r="D702" s="18">
        <v>0</v>
      </c>
      <c r="E702" s="13">
        <f>D702/1946.6/12*1000</f>
        <v>0</v>
      </c>
      <c r="F702" s="18">
        <v>1.4</v>
      </c>
      <c r="G702" s="13">
        <f>F702/1946.6/12*1000</f>
        <v>0.05993355936847152</v>
      </c>
    </row>
    <row r="703" spans="2:7" ht="12.75" customHeight="1">
      <c r="B703" s="19" t="s">
        <v>21</v>
      </c>
      <c r="C703" s="19"/>
      <c r="D703" s="13">
        <f>D704+D706+D705</f>
        <v>145.97</v>
      </c>
      <c r="E703" s="13">
        <f>D703/1946.6/12*1000</f>
        <v>6.24892975786842</v>
      </c>
      <c r="F703" s="13">
        <f>F704+F706+F705</f>
        <v>168.03</v>
      </c>
      <c r="G703" s="13">
        <f>F703/1946.6/12*1000</f>
        <v>7.193311414774479</v>
      </c>
    </row>
    <row r="704" spans="2:7" ht="12.75">
      <c r="B704" s="2"/>
      <c r="C704" s="15" t="s">
        <v>22</v>
      </c>
      <c r="D704" s="9">
        <v>122.4</v>
      </c>
      <c r="E704" s="13">
        <f>D704/1946.6/12*1000</f>
        <v>5.23990547621494</v>
      </c>
      <c r="F704" s="8">
        <f>87.3+26.6+3.8+11.77+1.58+2.8+3.27+22.6+0.2+1.37</f>
        <v>161.29000000000002</v>
      </c>
      <c r="G704" s="13">
        <f>F704/1946.6/12*1000</f>
        <v>6.904774136100553</v>
      </c>
    </row>
    <row r="705" spans="2:7" ht="12.75">
      <c r="B705" s="2"/>
      <c r="C705" s="15" t="s">
        <v>23</v>
      </c>
      <c r="D705" s="9">
        <v>21.7</v>
      </c>
      <c r="E705" s="13">
        <f>D705/1946.6/12*1000</f>
        <v>0.9289701702113086</v>
      </c>
      <c r="F705" s="9">
        <v>5.7</v>
      </c>
      <c r="G705" s="13">
        <f>F705/1946.6/12*1000</f>
        <v>0.2440152060002055</v>
      </c>
    </row>
    <row r="706" spans="2:7" ht="12.75">
      <c r="B706" s="2"/>
      <c r="C706" s="20" t="s">
        <v>24</v>
      </c>
      <c r="D706" s="9">
        <v>1.87</v>
      </c>
      <c r="E706" s="13">
        <f>D706/1946.6/12*1000</f>
        <v>0.08005411144217268</v>
      </c>
      <c r="F706" s="9">
        <v>1.04</v>
      </c>
      <c r="G706" s="13">
        <f>F706/1946.6/12*1000</f>
        <v>0.044522072673721706</v>
      </c>
    </row>
    <row r="707" spans="2:7" ht="12.75">
      <c r="B707" s="11" t="s">
        <v>25</v>
      </c>
      <c r="C707" s="11"/>
      <c r="D707" s="13">
        <v>13.78</v>
      </c>
      <c r="E707" s="13">
        <f>D707/1946.6/12*1000</f>
        <v>0.5899174629268126</v>
      </c>
      <c r="F707" s="13">
        <v>13.6</v>
      </c>
      <c r="G707" s="13">
        <f>F707/1946.6/12*1000</f>
        <v>0.5822117195794376</v>
      </c>
    </row>
    <row r="708" spans="2:7" ht="12.75">
      <c r="B708" s="21" t="s">
        <v>26</v>
      </c>
      <c r="C708" s="21"/>
      <c r="D708" s="13">
        <v>72.18</v>
      </c>
      <c r="E708" s="13">
        <f>D708/1946.6/12*1000</f>
        <v>3.0900030822973394</v>
      </c>
      <c r="F708" s="1">
        <f>13.08+60</f>
        <v>73.08</v>
      </c>
      <c r="G708" s="13">
        <f>F708/1946.6/12*1000</f>
        <v>3.1285317990342136</v>
      </c>
    </row>
    <row r="709" spans="2:7" ht="12.75">
      <c r="B709" s="2"/>
      <c r="C709" s="10" t="s">
        <v>28</v>
      </c>
      <c r="D709" s="12">
        <f>D698+D699+D703+D707+D708</f>
        <v>426.0299999999999</v>
      </c>
      <c r="E709" s="12">
        <f>E698+E699+E703+E707+E708</f>
        <v>18.238210212678517</v>
      </c>
      <c r="F709" s="13">
        <f>F698+F699+F703+F707+F708</f>
        <v>523.5200000000001</v>
      </c>
      <c r="G709" s="13">
        <f>G698+G699+G703+G707+G708</f>
        <v>22.411726428987297</v>
      </c>
    </row>
    <row r="710" spans="2:7" ht="12.75">
      <c r="B710" s="2">
        <v>4</v>
      </c>
      <c r="C710" s="10" t="s">
        <v>29</v>
      </c>
      <c r="D710" s="13">
        <v>42.6</v>
      </c>
      <c r="E710" s="12">
        <v>1.81</v>
      </c>
      <c r="F710" s="12"/>
      <c r="G710" s="12"/>
    </row>
    <row r="711" spans="2:7" ht="12.75">
      <c r="B711" s="5">
        <v>5</v>
      </c>
      <c r="C711" s="10" t="s">
        <v>13</v>
      </c>
      <c r="D711" s="13">
        <f>D709+D710</f>
        <v>468.62999999999994</v>
      </c>
      <c r="E711" s="13">
        <f>E709+E710</f>
        <v>20.048210212678516</v>
      </c>
      <c r="F711" s="13">
        <f>F709-F695/1000</f>
        <v>72.0499400000001</v>
      </c>
      <c r="G711" s="13"/>
    </row>
    <row r="712" spans="2:7" ht="12.75">
      <c r="B712" s="5"/>
      <c r="C712" s="10"/>
      <c r="D712" s="13"/>
      <c r="E712" s="13"/>
      <c r="F712" s="13"/>
      <c r="G712" s="13"/>
    </row>
    <row r="713" spans="2:7" ht="12.75">
      <c r="B713" s="23"/>
      <c r="C713" s="14" t="s">
        <v>38</v>
      </c>
      <c r="D713" s="25"/>
      <c r="E713" s="25"/>
      <c r="F713" s="27">
        <v>655.7</v>
      </c>
      <c r="G713" s="23"/>
    </row>
    <row r="714" spans="2:7" ht="12.75">
      <c r="B714" s="23" t="s">
        <v>39</v>
      </c>
      <c r="C714" s="23"/>
      <c r="D714" s="23"/>
      <c r="E714" s="23"/>
      <c r="F714" s="23"/>
      <c r="G714" s="23"/>
    </row>
    <row r="716" spans="2:7" ht="12.75">
      <c r="B716" s="1" t="s">
        <v>0</v>
      </c>
      <c r="C716" s="1"/>
      <c r="D716" s="1"/>
      <c r="E716" s="1"/>
      <c r="F716" s="1"/>
      <c r="G716" s="1"/>
    </row>
    <row r="717" spans="2:7" ht="12.75">
      <c r="B717" s="1" t="s">
        <v>46</v>
      </c>
      <c r="C717" s="1"/>
      <c r="D717" s="1"/>
      <c r="E717" s="1"/>
      <c r="F717" s="1"/>
      <c r="G717" s="1"/>
    </row>
    <row r="718" spans="2:7" ht="12.75">
      <c r="B718" s="1" t="s">
        <v>86</v>
      </c>
      <c r="C718" s="1"/>
      <c r="D718" s="1"/>
      <c r="E718" s="1"/>
      <c r="F718" s="1"/>
      <c r="G718" s="1"/>
    </row>
    <row r="719" spans="2:7" ht="12.75" customHeight="1">
      <c r="B719" s="2"/>
      <c r="C719" s="2" t="s">
        <v>3</v>
      </c>
      <c r="D719" s="3" t="s">
        <v>41</v>
      </c>
      <c r="E719" s="3"/>
      <c r="F719" s="4" t="s">
        <v>5</v>
      </c>
      <c r="G719" s="4"/>
    </row>
    <row r="720" spans="2:7" ht="12.75">
      <c r="B720" s="2"/>
      <c r="C720" s="2"/>
      <c r="D720" s="3" t="s">
        <v>6</v>
      </c>
      <c r="E720" s="3" t="s">
        <v>7</v>
      </c>
      <c r="F720" s="3" t="s">
        <v>6</v>
      </c>
      <c r="G720" s="3" t="s">
        <v>8</v>
      </c>
    </row>
    <row r="721" spans="2:7" ht="12.75">
      <c r="B721" s="5">
        <v>1</v>
      </c>
      <c r="C721" s="6" t="s">
        <v>9</v>
      </c>
      <c r="D721" s="1">
        <v>6020.3</v>
      </c>
      <c r="E721" s="1"/>
      <c r="F721" s="1">
        <v>6020.3</v>
      </c>
      <c r="G721" s="1"/>
    </row>
    <row r="722" spans="2:7" ht="12.75">
      <c r="B722" s="5">
        <v>2</v>
      </c>
      <c r="C722" s="7" t="s">
        <v>10</v>
      </c>
      <c r="D722" s="8"/>
      <c r="E722" s="8"/>
      <c r="F722" s="8" t="s">
        <v>3</v>
      </c>
      <c r="G722" s="8"/>
    </row>
    <row r="723" spans="2:7" ht="12.75">
      <c r="B723" s="5"/>
      <c r="C723" s="6" t="s">
        <v>11</v>
      </c>
      <c r="D723" s="9"/>
      <c r="E723" s="9"/>
      <c r="F723" s="9">
        <v>1478538.26</v>
      </c>
      <c r="G723" s="9"/>
    </row>
    <row r="724" spans="2:7" ht="12.75">
      <c r="B724" s="5"/>
      <c r="C724" s="2" t="s">
        <v>12</v>
      </c>
      <c r="D724" s="9"/>
      <c r="E724" s="9"/>
      <c r="F724" s="9">
        <v>1453542.94</v>
      </c>
      <c r="G724" s="9"/>
    </row>
    <row r="725" spans="2:7" ht="12.75">
      <c r="B725" s="5"/>
      <c r="C725" s="2" t="s">
        <v>13</v>
      </c>
      <c r="D725" s="9"/>
      <c r="E725" s="9"/>
      <c r="F725" s="9">
        <f>F724-F723</f>
        <v>-24995.320000000065</v>
      </c>
      <c r="G725" s="9"/>
    </row>
    <row r="726" spans="2:7" ht="12.75">
      <c r="B726" s="5">
        <v>3</v>
      </c>
      <c r="C726" s="10" t="s">
        <v>14</v>
      </c>
      <c r="D726" s="1" t="s">
        <v>15</v>
      </c>
      <c r="E726" s="1"/>
      <c r="F726" s="1" t="s">
        <v>15</v>
      </c>
      <c r="G726" s="1"/>
    </row>
    <row r="727" spans="2:7" ht="12.75">
      <c r="B727" s="11" t="s">
        <v>16</v>
      </c>
      <c r="C727" s="11"/>
      <c r="D727" s="13">
        <v>194</v>
      </c>
      <c r="E727" s="13">
        <f>D727/6020.3/12*1000</f>
        <v>2.685358979895797</v>
      </c>
      <c r="F727" s="13">
        <v>199.6</v>
      </c>
      <c r="G727" s="13">
        <f>F727/6020.3/12*1000</f>
        <v>2.7628744968412424</v>
      </c>
    </row>
    <row r="728" spans="2:7" ht="12.75" customHeight="1">
      <c r="B728" s="14" t="s">
        <v>17</v>
      </c>
      <c r="C728" s="14"/>
      <c r="D728" s="1">
        <f>D729+D730+D731</f>
        <v>394.5</v>
      </c>
      <c r="E728" s="13">
        <f>D728/6020.3/12*1000</f>
        <v>5.4606913276747004</v>
      </c>
      <c r="F728" s="1">
        <f>F729+F730+F731</f>
        <v>692.37</v>
      </c>
      <c r="G728" s="13">
        <f>F728/6020.3/12*1000</f>
        <v>9.583824726342542</v>
      </c>
    </row>
    <row r="729" spans="2:7" ht="12.75">
      <c r="B729" s="2"/>
      <c r="C729" s="15" t="s">
        <v>18</v>
      </c>
      <c r="D729" s="9">
        <v>314.5</v>
      </c>
      <c r="E729" s="13">
        <f>D729/6020.3/12*1000</f>
        <v>4.353326799882619</v>
      </c>
      <c r="F729" s="9">
        <f>115.6+6.97+193.4</f>
        <v>315.97</v>
      </c>
      <c r="G729" s="13">
        <f>F729/6020.3/12*1000</f>
        <v>4.373674623080799</v>
      </c>
    </row>
    <row r="730" spans="2:7" ht="12.75">
      <c r="B730" s="2"/>
      <c r="C730" s="15" t="s">
        <v>19</v>
      </c>
      <c r="D730" s="18">
        <v>80</v>
      </c>
      <c r="E730" s="13">
        <f>D730/6020.3/12*1000</f>
        <v>1.1073645277920812</v>
      </c>
      <c r="F730" s="45">
        <v>376.4</v>
      </c>
      <c r="G730" s="13">
        <f>F730/6020.3/12*1000</f>
        <v>5.210150103261742</v>
      </c>
    </row>
    <row r="731" spans="2:7" ht="12.75">
      <c r="B731" s="32" t="s">
        <v>20</v>
      </c>
      <c r="C731" s="32"/>
      <c r="D731" s="18">
        <v>0</v>
      </c>
      <c r="E731" s="13">
        <f>D731/6020.3/12*1000</f>
        <v>0</v>
      </c>
      <c r="F731" s="18">
        <v>0</v>
      </c>
      <c r="G731" s="13">
        <f>F731/6020.3/12*1000</f>
        <v>0</v>
      </c>
    </row>
    <row r="732" spans="2:7" ht="12.75" customHeight="1">
      <c r="B732" s="19" t="s">
        <v>21</v>
      </c>
      <c r="C732" s="19"/>
      <c r="D732" s="13">
        <f>D733+D735+D734</f>
        <v>451.56</v>
      </c>
      <c r="E732" s="13">
        <f>D732/6020.3/12*1000</f>
        <v>6.250519077122402</v>
      </c>
      <c r="F732" s="13">
        <f>F733+F735+F734</f>
        <v>463.89</v>
      </c>
      <c r="G732" s="13">
        <f>F732/6020.3/12*1000</f>
        <v>6.421191634968356</v>
      </c>
    </row>
    <row r="733" spans="2:7" ht="12.75">
      <c r="B733" s="2"/>
      <c r="C733" s="15" t="s">
        <v>22</v>
      </c>
      <c r="D733" s="9">
        <v>378.56</v>
      </c>
      <c r="E733" s="13">
        <f>D733/6020.3/12*1000</f>
        <v>5.240048945512129</v>
      </c>
      <c r="F733" s="8">
        <f>270+82.34+11.8+36.4+4.9+13.3+4.64+16.7+0.6+4.2</f>
        <v>444.88</v>
      </c>
      <c r="G733" s="13">
        <f>F733/6020.3/12*1000</f>
        <v>6.158054139051764</v>
      </c>
    </row>
    <row r="734" spans="2:7" ht="12.75">
      <c r="B734" s="2"/>
      <c r="C734" s="15" t="s">
        <v>23</v>
      </c>
      <c r="D734" s="9">
        <v>67.2</v>
      </c>
      <c r="E734" s="13">
        <f>D734/6020.3/12*1000</f>
        <v>0.9301862033453483</v>
      </c>
      <c r="F734" s="9">
        <v>15.94</v>
      </c>
      <c r="G734" s="13">
        <f>F734/6020.3/12*1000</f>
        <v>0.22064238216257215</v>
      </c>
    </row>
    <row r="735" spans="2:7" ht="12.75">
      <c r="B735" s="2"/>
      <c r="C735" s="20" t="s">
        <v>24</v>
      </c>
      <c r="D735" s="9">
        <v>5.8</v>
      </c>
      <c r="E735" s="13">
        <f>D735/6020.3/12*1000</f>
        <v>0.08028392826492588</v>
      </c>
      <c r="F735" s="9">
        <v>3.07</v>
      </c>
      <c r="G735" s="13">
        <f>F735/6020.3/12*1000</f>
        <v>0.04249511375402111</v>
      </c>
    </row>
    <row r="736" spans="2:7" ht="12.75">
      <c r="B736" s="11" t="s">
        <v>25</v>
      </c>
      <c r="C736" s="11"/>
      <c r="D736" s="13">
        <v>42.6</v>
      </c>
      <c r="E736" s="13">
        <f>D736/6020.3/12*1000</f>
        <v>0.5896716110492832</v>
      </c>
      <c r="F736" s="13">
        <v>43.48</v>
      </c>
      <c r="G736" s="13">
        <f>F736/6020.3/12*1000</f>
        <v>0.6018526208549961</v>
      </c>
    </row>
    <row r="737" spans="2:7" ht="12.75">
      <c r="B737" s="21" t="s">
        <v>26</v>
      </c>
      <c r="C737" s="21"/>
      <c r="D737" s="13">
        <v>223.2</v>
      </c>
      <c r="E737" s="13">
        <f>D737/6020.3/12*1000</f>
        <v>3.0895470325399064</v>
      </c>
      <c r="F737" s="1">
        <f>40.46+185.67</f>
        <v>226.13</v>
      </c>
      <c r="G737" s="13">
        <f>F737/6020.3/12*1000</f>
        <v>3.1301042583702916</v>
      </c>
    </row>
    <row r="738" spans="2:7" ht="12.75">
      <c r="B738" s="21"/>
      <c r="C738" s="22" t="s">
        <v>27</v>
      </c>
      <c r="D738" s="13">
        <v>0</v>
      </c>
      <c r="E738" s="13">
        <f>D738/6020.3/12*1000</f>
        <v>0</v>
      </c>
      <c r="F738" s="1">
        <v>42.64</v>
      </c>
      <c r="G738" s="13">
        <f>F738/6020.3/12*1000</f>
        <v>0.5902252933131793</v>
      </c>
    </row>
    <row r="739" spans="2:7" ht="12.75">
      <c r="B739" s="2"/>
      <c r="C739" s="10" t="s">
        <v>28</v>
      </c>
      <c r="D739" s="12">
        <f>D727+D728+D732+D736+D737</f>
        <v>1305.86</v>
      </c>
      <c r="E739" s="12">
        <f>E727+E728+E732+E736+E737</f>
        <v>18.07578802828209</v>
      </c>
      <c r="F739" s="13">
        <f>F727+F728+F732+F736+F737+F738</f>
        <v>1668.1100000000004</v>
      </c>
      <c r="G739" s="13">
        <f>G727+G728+G732+G736+G737+G738</f>
        <v>23.090073030690604</v>
      </c>
    </row>
    <row r="740" spans="2:7" ht="12.75">
      <c r="B740" s="2">
        <v>4</v>
      </c>
      <c r="C740" s="10" t="s">
        <v>29</v>
      </c>
      <c r="D740" s="13">
        <v>130.6</v>
      </c>
      <c r="E740" s="12">
        <v>1.8</v>
      </c>
      <c r="F740" s="12"/>
      <c r="G740" s="12"/>
    </row>
    <row r="741" spans="2:7" ht="12.75">
      <c r="B741" s="5">
        <v>5</v>
      </c>
      <c r="C741" s="10" t="s">
        <v>13</v>
      </c>
      <c r="D741" s="13">
        <f>D739+D740</f>
        <v>1436.4599999999998</v>
      </c>
      <c r="E741" s="13">
        <f>E739+E740</f>
        <v>19.87578802828209</v>
      </c>
      <c r="F741" s="13">
        <f>F739-F724/1000</f>
        <v>214.5670600000003</v>
      </c>
      <c r="G741" s="13"/>
    </row>
    <row r="742" spans="2:7" ht="12.75">
      <c r="B742" s="23"/>
      <c r="C742" s="23"/>
      <c r="D742" s="25"/>
      <c r="E742" s="25"/>
      <c r="F742" s="23"/>
      <c r="G742" s="23"/>
    </row>
    <row r="743" spans="2:7" ht="12.75">
      <c r="B743" s="11" t="s">
        <v>30</v>
      </c>
      <c r="C743" s="11"/>
      <c r="D743" s="33" t="s">
        <v>6</v>
      </c>
      <c r="E743" s="25"/>
      <c r="F743" s="25"/>
      <c r="G743" s="25"/>
    </row>
    <row r="744" spans="2:7" ht="12.75">
      <c r="B744" s="25"/>
      <c r="C744" s="34" t="s">
        <v>31</v>
      </c>
      <c r="D744" s="35">
        <v>84168.42</v>
      </c>
      <c r="E744" s="25"/>
      <c r="F744" s="25"/>
      <c r="G744" s="25"/>
    </row>
    <row r="745" spans="2:7" ht="12.75">
      <c r="B745" s="5"/>
      <c r="C745" s="23" t="s">
        <v>32</v>
      </c>
      <c r="D745" s="35">
        <v>73707.8</v>
      </c>
      <c r="E745" s="25"/>
      <c r="F745" s="25"/>
      <c r="G745" s="25"/>
    </row>
    <row r="746" spans="2:7" ht="12.75">
      <c r="B746" s="5"/>
      <c r="C746" s="36" t="s">
        <v>13</v>
      </c>
      <c r="D746" s="33">
        <f>D745-D744</f>
        <v>-10460.619999999995</v>
      </c>
      <c r="E746" s="25"/>
      <c r="F746" s="25"/>
      <c r="G746" s="25"/>
    </row>
    <row r="747" spans="2:7" ht="12.75">
      <c r="B747" s="5"/>
      <c r="C747" s="34" t="s">
        <v>33</v>
      </c>
      <c r="D747" s="35">
        <v>98677.76</v>
      </c>
      <c r="E747" s="25"/>
      <c r="F747" s="25"/>
      <c r="G747" s="25"/>
    </row>
    <row r="748" spans="2:7" ht="12.75">
      <c r="B748" s="5"/>
      <c r="C748" s="23" t="s">
        <v>34</v>
      </c>
      <c r="D748" s="35">
        <v>85679.88</v>
      </c>
      <c r="E748" s="25"/>
      <c r="F748" s="25"/>
      <c r="G748" s="25"/>
    </row>
    <row r="749" spans="2:7" ht="12.75">
      <c r="B749" s="5"/>
      <c r="C749" s="36" t="s">
        <v>13</v>
      </c>
      <c r="D749" s="33">
        <f>D748-D747</f>
        <v>-12997.87999999999</v>
      </c>
      <c r="E749" s="25"/>
      <c r="F749" s="25"/>
      <c r="G749" s="25"/>
    </row>
    <row r="750" spans="2:7" ht="12.75">
      <c r="B750" s="5"/>
      <c r="C750" s="34" t="s">
        <v>76</v>
      </c>
      <c r="D750" s="35">
        <v>170402.1</v>
      </c>
      <c r="E750" s="25"/>
      <c r="F750" s="25"/>
      <c r="G750" s="25"/>
    </row>
    <row r="751" spans="2:7" ht="12.75">
      <c r="B751" s="5"/>
      <c r="C751" s="23" t="s">
        <v>77</v>
      </c>
      <c r="D751" s="35">
        <v>178901.84</v>
      </c>
      <c r="E751" s="25"/>
      <c r="F751" s="25"/>
      <c r="G751" s="25"/>
    </row>
    <row r="752" spans="2:7" ht="12.75">
      <c r="B752" s="5"/>
      <c r="C752" s="36" t="s">
        <v>13</v>
      </c>
      <c r="D752" s="33">
        <f>D751-D750</f>
        <v>8499.73999999999</v>
      </c>
      <c r="E752" s="25"/>
      <c r="F752" s="25"/>
      <c r="G752" s="25"/>
    </row>
    <row r="753" spans="2:7" ht="12.75">
      <c r="B753" s="5"/>
      <c r="C753" s="34" t="s">
        <v>42</v>
      </c>
      <c r="D753" s="35">
        <v>16255.01</v>
      </c>
      <c r="E753" s="25"/>
      <c r="F753" s="25"/>
      <c r="G753" s="25"/>
    </row>
    <row r="754" spans="2:7" ht="12.75">
      <c r="B754" s="5"/>
      <c r="C754" s="23" t="s">
        <v>43</v>
      </c>
      <c r="D754" s="35">
        <v>12023.73</v>
      </c>
      <c r="E754" s="25"/>
      <c r="F754" s="25"/>
      <c r="G754" s="25"/>
    </row>
    <row r="755" spans="2:7" ht="12.75">
      <c r="B755" s="5"/>
      <c r="C755" s="36" t="s">
        <v>13</v>
      </c>
      <c r="D755" s="33">
        <f>D754-D753</f>
        <v>-4231.280000000001</v>
      </c>
      <c r="E755" s="25"/>
      <c r="F755" s="25"/>
      <c r="G755" s="25"/>
    </row>
    <row r="756" spans="2:7" ht="12.75">
      <c r="B756" s="11"/>
      <c r="C756" s="11" t="s">
        <v>35</v>
      </c>
      <c r="D756" s="27">
        <f>D746+D749+D752+D755</f>
        <v>-19190.039999999994</v>
      </c>
      <c r="E756" s="25"/>
      <c r="F756" s="25"/>
      <c r="G756" s="25"/>
    </row>
    <row r="757" spans="2:7" ht="12.75">
      <c r="B757" s="11"/>
      <c r="C757" s="11"/>
      <c r="D757" s="27"/>
      <c r="E757" s="25"/>
      <c r="F757" s="25"/>
      <c r="G757" s="25"/>
    </row>
    <row r="758" spans="2:7" ht="12.75">
      <c r="B758" s="11"/>
      <c r="C758" s="14" t="s">
        <v>44</v>
      </c>
      <c r="D758" s="27" t="s">
        <v>37</v>
      </c>
      <c r="E758" s="25"/>
      <c r="F758" s="24">
        <v>233.76</v>
      </c>
      <c r="G758" s="25"/>
    </row>
    <row r="759" spans="2:7" ht="12.75">
      <c r="B759" s="11"/>
      <c r="C759" s="14" t="s">
        <v>45</v>
      </c>
      <c r="D759" s="27"/>
      <c r="E759" s="25"/>
      <c r="F759" s="24">
        <v>-103.9</v>
      </c>
      <c r="G759" s="25"/>
    </row>
    <row r="760" spans="2:7" ht="12.75">
      <c r="B760" s="23" t="s">
        <v>39</v>
      </c>
      <c r="C760" s="23"/>
      <c r="D760" s="23"/>
      <c r="E760" s="23"/>
      <c r="F760" s="23"/>
      <c r="G760" s="23"/>
    </row>
    <row r="762" spans="2:7" ht="12.75">
      <c r="B762" s="1" t="s">
        <v>0</v>
      </c>
      <c r="C762" s="1"/>
      <c r="D762" s="1"/>
      <c r="E762" s="1"/>
      <c r="F762" s="1"/>
      <c r="G762" s="1"/>
    </row>
    <row r="763" spans="2:7" ht="12.75">
      <c r="B763" s="1" t="s">
        <v>51</v>
      </c>
      <c r="C763" s="1"/>
      <c r="D763" s="1"/>
      <c r="E763" s="1"/>
      <c r="F763" s="1"/>
      <c r="G763" s="1"/>
    </row>
    <row r="764" spans="2:7" ht="12.75">
      <c r="B764" s="1" t="s">
        <v>87</v>
      </c>
      <c r="C764" s="1"/>
      <c r="D764" s="1"/>
      <c r="E764" s="1"/>
      <c r="F764" s="1"/>
      <c r="G764" s="1"/>
    </row>
    <row r="765" spans="2:7" ht="12.75" customHeight="1">
      <c r="B765" s="2"/>
      <c r="C765" s="2" t="s">
        <v>3</v>
      </c>
      <c r="D765" s="3" t="s">
        <v>41</v>
      </c>
      <c r="E765" s="3"/>
      <c r="F765" s="4" t="s">
        <v>5</v>
      </c>
      <c r="G765" s="4"/>
    </row>
    <row r="766" spans="2:7" ht="12.75">
      <c r="B766" s="2"/>
      <c r="C766" s="2"/>
      <c r="D766" s="3" t="s">
        <v>6</v>
      </c>
      <c r="E766" s="3" t="s">
        <v>7</v>
      </c>
      <c r="F766" s="3" t="s">
        <v>6</v>
      </c>
      <c r="G766" s="3" t="s">
        <v>8</v>
      </c>
    </row>
    <row r="767" spans="2:7" ht="12.75">
      <c r="B767" s="5">
        <v>1</v>
      </c>
      <c r="C767" s="6" t="s">
        <v>9</v>
      </c>
      <c r="D767" s="1">
        <v>4525.83</v>
      </c>
      <c r="E767" s="1"/>
      <c r="F767" s="1">
        <v>4525.83</v>
      </c>
      <c r="G767" s="1"/>
    </row>
    <row r="768" spans="2:7" ht="12.75">
      <c r="B768" s="5">
        <v>2</v>
      </c>
      <c r="C768" s="7" t="s">
        <v>62</v>
      </c>
      <c r="D768" s="8"/>
      <c r="E768" s="8"/>
      <c r="F768" s="8" t="s">
        <v>3</v>
      </c>
      <c r="G768" s="8"/>
    </row>
    <row r="769" spans="2:7" ht="12.75">
      <c r="B769" s="5"/>
      <c r="C769" s="6" t="s">
        <v>56</v>
      </c>
      <c r="D769" s="9"/>
      <c r="E769" s="9"/>
      <c r="F769" s="9">
        <v>1079441.88</v>
      </c>
      <c r="G769" s="9"/>
    </row>
    <row r="770" spans="2:7" ht="12.75">
      <c r="B770" s="5"/>
      <c r="C770" s="2" t="s">
        <v>57</v>
      </c>
      <c r="D770" s="9"/>
      <c r="E770" s="9"/>
      <c r="F770" s="9">
        <v>1065620.12</v>
      </c>
      <c r="G770" s="9"/>
    </row>
    <row r="771" spans="2:7" ht="12.75">
      <c r="B771" s="5"/>
      <c r="C771" s="2" t="s">
        <v>13</v>
      </c>
      <c r="D771" s="9"/>
      <c r="E771" s="9"/>
      <c r="F771" s="9">
        <f>F770-F769</f>
        <v>-13821.759999999776</v>
      </c>
      <c r="G771" s="9"/>
    </row>
    <row r="772" spans="2:7" ht="12.75">
      <c r="B772" s="5">
        <v>3</v>
      </c>
      <c r="C772" s="10" t="s">
        <v>14</v>
      </c>
      <c r="D772" s="1" t="s">
        <v>15</v>
      </c>
      <c r="E772" s="1"/>
      <c r="F772" s="1" t="s">
        <v>15</v>
      </c>
      <c r="G772" s="1"/>
    </row>
    <row r="773" spans="2:7" ht="12.75">
      <c r="B773" s="11" t="s">
        <v>16</v>
      </c>
      <c r="C773" s="11"/>
      <c r="D773" s="13">
        <v>145.7</v>
      </c>
      <c r="E773" s="13">
        <f>D773/4525.83/12*1000</f>
        <v>2.6827491679242628</v>
      </c>
      <c r="F773" s="13">
        <v>145.7</v>
      </c>
      <c r="G773" s="13">
        <f>F773/4525.83/12*1000</f>
        <v>2.6827491679242628</v>
      </c>
    </row>
    <row r="774" spans="2:7" ht="12.75" customHeight="1">
      <c r="B774" s="14" t="s">
        <v>17</v>
      </c>
      <c r="C774" s="14"/>
      <c r="D774" s="1">
        <f>D775+D776+D777</f>
        <v>296</v>
      </c>
      <c r="E774" s="13">
        <f>D774/4525.83/12*1000</f>
        <v>5.450197348699945</v>
      </c>
      <c r="F774" s="1">
        <f>F775+F776+F777</f>
        <v>403.61</v>
      </c>
      <c r="G774" s="13">
        <f>F774/4525.83/12*1000</f>
        <v>7.431601864556704</v>
      </c>
    </row>
    <row r="775" spans="2:7" ht="12.75">
      <c r="B775" s="2"/>
      <c r="C775" s="15" t="s">
        <v>18</v>
      </c>
      <c r="D775" s="9">
        <v>236.5</v>
      </c>
      <c r="E775" s="13">
        <f>D775/4525.83/12*1000</f>
        <v>4.354634030295732</v>
      </c>
      <c r="F775" s="9">
        <f>86.9+19.56+145.4</f>
        <v>251.86</v>
      </c>
      <c r="G775" s="13">
        <f>F775/4525.83/12*1000</f>
        <v>4.637455081903946</v>
      </c>
    </row>
    <row r="776" spans="2:7" ht="12.75">
      <c r="B776" s="2"/>
      <c r="C776" s="15" t="s">
        <v>19</v>
      </c>
      <c r="D776" s="17">
        <v>59.5</v>
      </c>
      <c r="E776" s="13">
        <f>D776/4525.83/12*1000</f>
        <v>1.0955633184042115</v>
      </c>
      <c r="F776" s="45">
        <v>151.75</v>
      </c>
      <c r="G776" s="13">
        <f>F776/4525.83/12*1000</f>
        <v>2.794146782652758</v>
      </c>
    </row>
    <row r="777" spans="2:7" ht="12.75">
      <c r="B777" s="32" t="s">
        <v>20</v>
      </c>
      <c r="C777" s="32"/>
      <c r="D777" s="18">
        <v>0</v>
      </c>
      <c r="E777" s="13">
        <f>D777/4525.83/12*1000</f>
        <v>0</v>
      </c>
      <c r="F777" s="18">
        <v>0</v>
      </c>
      <c r="G777" s="13">
        <f>F777/4525.83/12*1000</f>
        <v>0</v>
      </c>
    </row>
    <row r="778" spans="2:7" ht="12.75" customHeight="1">
      <c r="B778" s="19" t="s">
        <v>21</v>
      </c>
      <c r="C778" s="19"/>
      <c r="D778" s="13">
        <f>D779+D781+D780</f>
        <v>339.45000000000005</v>
      </c>
      <c r="E778" s="13">
        <f>D778/4525.83/12*1000</f>
        <v>6.250234763568231</v>
      </c>
      <c r="F778" s="13">
        <f>F779+F781+F780</f>
        <v>351.09000000000003</v>
      </c>
      <c r="G778" s="13">
        <f>F778/4525.83/12*1000</f>
        <v>6.464560091740079</v>
      </c>
    </row>
    <row r="779" spans="2:7" ht="12.75">
      <c r="B779" s="2"/>
      <c r="C779" s="15" t="s">
        <v>22</v>
      </c>
      <c r="D779" s="9">
        <v>284.6</v>
      </c>
      <c r="E779" s="13">
        <f>D779/4525.83/12*1000</f>
        <v>5.240291099459473</v>
      </c>
      <c r="F779" s="8">
        <f>202.9+61.9+8.88+27.37+3.68+13.3+4.18+9.7+0.46+3.18</f>
        <v>335.55</v>
      </c>
      <c r="G779" s="13">
        <f>F779/4525.83/12*1000</f>
        <v>6.178424730933332</v>
      </c>
    </row>
    <row r="780" spans="2:7" ht="12.75">
      <c r="B780" s="2"/>
      <c r="C780" s="15" t="s">
        <v>23</v>
      </c>
      <c r="D780" s="9">
        <v>50.5</v>
      </c>
      <c r="E780" s="13">
        <f>D780/4525.83/12*1000</f>
        <v>0.9298478584775242</v>
      </c>
      <c r="F780" s="9">
        <v>13.04</v>
      </c>
      <c r="G780" s="13">
        <f>F780/4525.83/12*1000</f>
        <v>0.24010328860488941</v>
      </c>
    </row>
    <row r="781" spans="2:7" ht="12.75">
      <c r="B781" s="2"/>
      <c r="C781" s="20" t="s">
        <v>24</v>
      </c>
      <c r="D781" s="9">
        <v>4.35</v>
      </c>
      <c r="E781" s="13">
        <f>D781/4525.83/12*1000</f>
        <v>0.08009580563123228</v>
      </c>
      <c r="F781" s="9">
        <v>2.5</v>
      </c>
      <c r="G781" s="13">
        <f>F781/4525.83/12*1000</f>
        <v>0.046032072201857635</v>
      </c>
    </row>
    <row r="782" spans="2:7" ht="12.75">
      <c r="B782" s="11" t="s">
        <v>25</v>
      </c>
      <c r="C782" s="11"/>
      <c r="D782" s="13">
        <v>32.3</v>
      </c>
      <c r="E782" s="13">
        <f>D782/4525.83/12*1000</f>
        <v>0.5947343728480006</v>
      </c>
      <c r="F782" s="13">
        <v>31.9</v>
      </c>
      <c r="G782" s="13">
        <f>F782/4525.83/12*1000</f>
        <v>0.5873692412957033</v>
      </c>
    </row>
    <row r="783" spans="2:7" ht="12.75">
      <c r="B783" s="21" t="s">
        <v>26</v>
      </c>
      <c r="C783" s="21"/>
      <c r="D783" s="13">
        <v>167.8</v>
      </c>
      <c r="E783" s="13">
        <f>D783/4525.83/12*1000</f>
        <v>3.0896726861886843</v>
      </c>
      <c r="F783" s="12">
        <f>30.4+139.6</f>
        <v>170</v>
      </c>
      <c r="G783" s="13">
        <f>F783/4528.3/12*1000</f>
        <v>3.1284735257528578</v>
      </c>
    </row>
    <row r="784" spans="2:7" ht="12.75">
      <c r="B784" s="2"/>
      <c r="C784" s="10" t="s">
        <v>28</v>
      </c>
      <c r="D784" s="12">
        <f>D773+D774+D778+D782+D783</f>
        <v>981.25</v>
      </c>
      <c r="E784" s="12">
        <f>E773+E774+E778+E782+E783</f>
        <v>18.067588339229122</v>
      </c>
      <c r="F784" s="13">
        <f>F773+F774+F778+F782+F783</f>
        <v>1102.3</v>
      </c>
      <c r="G784" s="13">
        <f>G773+G774+G778+G782+G783</f>
        <v>20.294753891269607</v>
      </c>
    </row>
    <row r="785" spans="2:7" ht="12.75">
      <c r="B785" s="2">
        <v>4</v>
      </c>
      <c r="C785" s="10" t="s">
        <v>29</v>
      </c>
      <c r="D785" s="13">
        <v>98.13</v>
      </c>
      <c r="E785" s="13">
        <v>1.81</v>
      </c>
      <c r="F785" s="12"/>
      <c r="G785" s="12"/>
    </row>
    <row r="786" spans="2:7" ht="12.75">
      <c r="B786" s="5">
        <v>5</v>
      </c>
      <c r="C786" s="10" t="s">
        <v>13</v>
      </c>
      <c r="D786" s="13">
        <f>D784+D785</f>
        <v>1079.38</v>
      </c>
      <c r="E786" s="13">
        <f>E784+E785</f>
        <v>19.87758833922912</v>
      </c>
      <c r="F786" s="13">
        <f>F784-F770/1000</f>
        <v>36.67987999999991</v>
      </c>
      <c r="G786" s="13"/>
    </row>
    <row r="787" spans="2:7" ht="12.75">
      <c r="B787" s="23"/>
      <c r="C787" s="23"/>
      <c r="D787" s="25"/>
      <c r="E787" s="25"/>
      <c r="F787" s="23"/>
      <c r="G787" s="23"/>
    </row>
    <row r="788" spans="2:7" ht="12.75">
      <c r="B788" s="11" t="s">
        <v>30</v>
      </c>
      <c r="C788" s="11"/>
      <c r="D788" s="33" t="s">
        <v>6</v>
      </c>
      <c r="E788" s="25"/>
      <c r="F788" s="25"/>
      <c r="G788" s="25"/>
    </row>
    <row r="789" spans="2:7" ht="12.75">
      <c r="B789" s="25"/>
      <c r="C789" s="34" t="s">
        <v>31</v>
      </c>
      <c r="D789" s="35">
        <v>31771.82</v>
      </c>
      <c r="E789" s="25"/>
      <c r="F789" s="25"/>
      <c r="G789" s="25"/>
    </row>
    <row r="790" spans="2:7" ht="12.75">
      <c r="B790" s="5"/>
      <c r="C790" s="23" t="s">
        <v>32</v>
      </c>
      <c r="D790" s="35">
        <v>30769.41</v>
      </c>
      <c r="E790" s="25"/>
      <c r="F790" s="25"/>
      <c r="G790" s="25"/>
    </row>
    <row r="791" spans="2:7" ht="12.75">
      <c r="B791" s="5"/>
      <c r="C791" s="36" t="s">
        <v>13</v>
      </c>
      <c r="D791" s="33">
        <f>D790-D789</f>
        <v>-1002.4099999999999</v>
      </c>
      <c r="E791" s="25"/>
      <c r="F791" s="25"/>
      <c r="G791" s="25"/>
    </row>
    <row r="792" spans="2:7" ht="12.75">
      <c r="B792" s="5"/>
      <c r="C792" s="34" t="s">
        <v>33</v>
      </c>
      <c r="D792" s="35">
        <v>58655.66</v>
      </c>
      <c r="E792" s="25"/>
      <c r="F792" s="25"/>
      <c r="G792" s="25"/>
    </row>
    <row r="793" spans="2:7" ht="12.75">
      <c r="B793" s="5"/>
      <c r="C793" s="23" t="s">
        <v>34</v>
      </c>
      <c r="D793" s="35">
        <v>55303.32</v>
      </c>
      <c r="E793" s="25"/>
      <c r="F793" s="25"/>
      <c r="G793" s="25"/>
    </row>
    <row r="794" spans="2:7" ht="12.75">
      <c r="B794" s="5"/>
      <c r="C794" s="36" t="s">
        <v>13</v>
      </c>
      <c r="D794" s="33">
        <f>D793-D792</f>
        <v>-3352.340000000004</v>
      </c>
      <c r="E794" s="25"/>
      <c r="F794" s="25"/>
      <c r="G794" s="25"/>
    </row>
    <row r="795" spans="2:7" ht="12.75">
      <c r="B795" s="5"/>
      <c r="C795" s="34" t="s">
        <v>76</v>
      </c>
      <c r="D795" s="35">
        <v>179357.64</v>
      </c>
      <c r="E795" s="25"/>
      <c r="F795" s="25"/>
      <c r="G795" s="25"/>
    </row>
    <row r="796" spans="2:7" ht="12.75">
      <c r="B796" s="5"/>
      <c r="C796" s="23" t="s">
        <v>77</v>
      </c>
      <c r="D796" s="35">
        <v>173015.44</v>
      </c>
      <c r="E796" s="25"/>
      <c r="F796" s="25"/>
      <c r="G796" s="25"/>
    </row>
    <row r="797" spans="2:7" ht="12.75">
      <c r="B797" s="5"/>
      <c r="C797" s="36" t="s">
        <v>13</v>
      </c>
      <c r="D797" s="33">
        <f>D796-D795</f>
        <v>-6342.200000000012</v>
      </c>
      <c r="E797" s="25"/>
      <c r="F797" s="25"/>
      <c r="G797" s="25"/>
    </row>
    <row r="798" spans="2:7" ht="12.75">
      <c r="B798" s="5"/>
      <c r="C798" s="34" t="s">
        <v>42</v>
      </c>
      <c r="D798" s="35">
        <v>14574.54</v>
      </c>
      <c r="E798" s="25"/>
      <c r="F798" s="25"/>
      <c r="G798" s="25"/>
    </row>
    <row r="799" spans="2:7" ht="12.75">
      <c r="B799" s="5"/>
      <c r="C799" s="23" t="s">
        <v>43</v>
      </c>
      <c r="D799" s="35">
        <v>10069.12</v>
      </c>
      <c r="E799" s="25"/>
      <c r="F799" s="25"/>
      <c r="G799" s="25"/>
    </row>
    <row r="800" spans="2:7" ht="12.75">
      <c r="B800" s="5"/>
      <c r="C800" s="36" t="s">
        <v>13</v>
      </c>
      <c r="D800" s="33">
        <f>D799-D798</f>
        <v>-4505.42</v>
      </c>
      <c r="E800" s="25"/>
      <c r="F800" s="25"/>
      <c r="G800" s="25"/>
    </row>
    <row r="801" spans="2:7" ht="12.75">
      <c r="B801" s="11"/>
      <c r="C801" s="11" t="s">
        <v>35</v>
      </c>
      <c r="D801" s="27">
        <f>D791+D794+D797+D800</f>
        <v>-15202.370000000015</v>
      </c>
      <c r="E801" s="25"/>
      <c r="F801" s="25"/>
      <c r="G801" s="25"/>
    </row>
    <row r="802" spans="2:7" ht="12.75">
      <c r="B802" s="11"/>
      <c r="C802" s="11"/>
      <c r="D802" s="27"/>
      <c r="E802" s="25"/>
      <c r="F802" s="25"/>
      <c r="G802" s="25"/>
    </row>
    <row r="803" spans="2:7" ht="12.75">
      <c r="B803" s="11"/>
      <c r="C803" s="14" t="s">
        <v>44</v>
      </c>
      <c r="D803" s="27" t="s">
        <v>37</v>
      </c>
      <c r="E803" s="25"/>
      <c r="F803" s="24">
        <v>51.88</v>
      </c>
      <c r="G803" s="25"/>
    </row>
    <row r="804" spans="2:7" ht="12.75">
      <c r="B804" s="11"/>
      <c r="C804" s="14" t="s">
        <v>38</v>
      </c>
      <c r="D804" s="27"/>
      <c r="E804" s="25"/>
      <c r="F804" s="24">
        <v>394.3</v>
      </c>
      <c r="G804" s="25"/>
    </row>
    <row r="805" spans="2:7" ht="12.75">
      <c r="B805" s="23" t="s">
        <v>39</v>
      </c>
      <c r="C805" s="23"/>
      <c r="D805" s="23"/>
      <c r="E805" s="23"/>
      <c r="F805" s="23"/>
      <c r="G805" s="23"/>
    </row>
    <row r="807" spans="2:7" ht="12.75">
      <c r="B807" s="1" t="s">
        <v>0</v>
      </c>
      <c r="C807" s="1"/>
      <c r="D807" s="1"/>
      <c r="E807" s="1"/>
      <c r="F807" s="1"/>
      <c r="G807" s="1"/>
    </row>
    <row r="808" spans="2:7" ht="12.75">
      <c r="B808" s="1" t="s">
        <v>51</v>
      </c>
      <c r="C808" s="1"/>
      <c r="D808" s="1"/>
      <c r="E808" s="1"/>
      <c r="F808" s="1"/>
      <c r="G808" s="1"/>
    </row>
    <row r="809" spans="2:7" ht="12.75">
      <c r="B809" s="1" t="s">
        <v>88</v>
      </c>
      <c r="C809" s="1"/>
      <c r="D809" s="1"/>
      <c r="E809" s="1"/>
      <c r="F809" s="1"/>
      <c r="G809" s="1"/>
    </row>
    <row r="810" spans="2:7" ht="12.75" customHeight="1">
      <c r="B810" s="2"/>
      <c r="C810" s="2" t="s">
        <v>3</v>
      </c>
      <c r="D810" s="3" t="s">
        <v>41</v>
      </c>
      <c r="E810" s="3"/>
      <c r="F810" s="4" t="s">
        <v>5</v>
      </c>
      <c r="G810" s="4"/>
    </row>
    <row r="811" spans="2:7" ht="12.75">
      <c r="B811" s="2"/>
      <c r="C811" s="2"/>
      <c r="D811" s="3" t="s">
        <v>6</v>
      </c>
      <c r="E811" s="3" t="s">
        <v>7</v>
      </c>
      <c r="F811" s="3" t="s">
        <v>6</v>
      </c>
      <c r="G811" s="3" t="s">
        <v>8</v>
      </c>
    </row>
    <row r="812" spans="2:7" ht="12.75">
      <c r="B812" s="5">
        <v>1</v>
      </c>
      <c r="C812" s="6" t="s">
        <v>9</v>
      </c>
      <c r="D812" s="1">
        <v>4521.28</v>
      </c>
      <c r="E812" s="1"/>
      <c r="F812" s="1">
        <v>4521.28</v>
      </c>
      <c r="G812" s="1"/>
    </row>
    <row r="813" spans="2:7" ht="12.75">
      <c r="B813" s="5">
        <v>2</v>
      </c>
      <c r="C813" s="7" t="s">
        <v>62</v>
      </c>
      <c r="D813" s="8"/>
      <c r="E813" s="8"/>
      <c r="F813" s="8" t="s">
        <v>3</v>
      </c>
      <c r="G813" s="8"/>
    </row>
    <row r="814" spans="2:7" ht="12.75">
      <c r="B814" s="5"/>
      <c r="C814" s="6" t="s">
        <v>56</v>
      </c>
      <c r="D814" s="9"/>
      <c r="E814" s="9"/>
      <c r="F814" s="9">
        <v>1078312.22</v>
      </c>
      <c r="G814" s="9"/>
    </row>
    <row r="815" spans="2:7" ht="12.75">
      <c r="B815" s="5"/>
      <c r="C815" s="2" t="s">
        <v>57</v>
      </c>
      <c r="D815" s="9"/>
      <c r="E815" s="9"/>
      <c r="F815" s="9">
        <v>1118018.37</v>
      </c>
      <c r="G815" s="9"/>
    </row>
    <row r="816" spans="2:7" ht="12.75">
      <c r="B816" s="5"/>
      <c r="C816" s="2" t="s">
        <v>13</v>
      </c>
      <c r="D816" s="9"/>
      <c r="E816" s="9"/>
      <c r="F816" s="9">
        <f>F815-F814</f>
        <v>39706.15000000014</v>
      </c>
      <c r="G816" s="9"/>
    </row>
    <row r="817" spans="2:7" ht="12.75">
      <c r="B817" s="5">
        <v>3</v>
      </c>
      <c r="C817" s="10" t="s">
        <v>14</v>
      </c>
      <c r="D817" s="1" t="s">
        <v>15</v>
      </c>
      <c r="E817" s="1"/>
      <c r="F817" s="1" t="s">
        <v>15</v>
      </c>
      <c r="G817" s="1"/>
    </row>
    <row r="818" spans="2:7" ht="12.75">
      <c r="B818" s="11" t="s">
        <v>16</v>
      </c>
      <c r="C818" s="11"/>
      <c r="D818" s="13">
        <v>145.6</v>
      </c>
      <c r="E818" s="13">
        <f>D818/4521.28/12*1000</f>
        <v>2.6836058225399295</v>
      </c>
      <c r="F818" s="13">
        <v>145.6</v>
      </c>
      <c r="G818" s="13">
        <f>F818/4521.28/12*1000</f>
        <v>2.6836058225399295</v>
      </c>
    </row>
    <row r="819" spans="2:7" ht="12.75" customHeight="1">
      <c r="B819" s="14" t="s">
        <v>17</v>
      </c>
      <c r="C819" s="14"/>
      <c r="D819" s="1">
        <f>D820+D821+D822</f>
        <v>296.2</v>
      </c>
      <c r="E819" s="13">
        <f>D819/4521.28/12*1000</f>
        <v>5.4593684384363135</v>
      </c>
      <c r="F819" s="1">
        <f>F820+F821+F822</f>
        <v>402.3</v>
      </c>
      <c r="G819" s="13">
        <f>F819/4521.28/12*1000</f>
        <v>7.41493559346026</v>
      </c>
    </row>
    <row r="820" spans="2:7" ht="12.75">
      <c r="B820" s="2"/>
      <c r="C820" s="15" t="s">
        <v>18</v>
      </c>
      <c r="D820" s="9">
        <v>236.2</v>
      </c>
      <c r="E820" s="13">
        <f>D820/4521.28/12*1000</f>
        <v>4.353486918158869</v>
      </c>
      <c r="F820" s="9">
        <f>86.8+15.1+145.3</f>
        <v>247.2</v>
      </c>
      <c r="G820" s="13">
        <f>F820/4521.28/12*1000</f>
        <v>4.556231863543068</v>
      </c>
    </row>
    <row r="821" spans="2:7" ht="12.75">
      <c r="B821" s="2"/>
      <c r="C821" s="15" t="s">
        <v>19</v>
      </c>
      <c r="D821" s="17">
        <v>60</v>
      </c>
      <c r="E821" s="13">
        <f>D821/4521.28/12*1000</f>
        <v>1.1058815202774437</v>
      </c>
      <c r="F821" s="45">
        <v>149.5</v>
      </c>
      <c r="G821" s="13">
        <f>F821/4521.28/12*1000</f>
        <v>2.7554881213579634</v>
      </c>
    </row>
    <row r="822" spans="2:7" ht="12.75">
      <c r="B822" s="32" t="s">
        <v>20</v>
      </c>
      <c r="C822" s="32"/>
      <c r="D822" s="18">
        <v>0</v>
      </c>
      <c r="E822" s="13">
        <f>D822/4521.28/12*1000</f>
        <v>0</v>
      </c>
      <c r="F822" s="18">
        <v>5.6</v>
      </c>
      <c r="G822" s="13">
        <f>F822/4521.28/12*1000</f>
        <v>0.10321560855922807</v>
      </c>
    </row>
    <row r="823" spans="2:7" ht="12.75" customHeight="1">
      <c r="B823" s="19" t="s">
        <v>21</v>
      </c>
      <c r="C823" s="19"/>
      <c r="D823" s="13">
        <f>D824+D826+D825</f>
        <v>339.09999999999997</v>
      </c>
      <c r="E823" s="13">
        <f>D823/4521.28/12*1000</f>
        <v>6.250073725434685</v>
      </c>
      <c r="F823" s="13">
        <f>F824+F826+F825</f>
        <v>348.48</v>
      </c>
      <c r="G823" s="13">
        <f>F823/4521.28/12*1000</f>
        <v>6.422959869771392</v>
      </c>
    </row>
    <row r="824" spans="2:7" ht="12.75">
      <c r="B824" s="2"/>
      <c r="C824" s="15" t="s">
        <v>22</v>
      </c>
      <c r="D824" s="9">
        <v>284.3</v>
      </c>
      <c r="E824" s="13">
        <f>D824/4521.28/12*1000</f>
        <v>5.240035270247954</v>
      </c>
      <c r="F824" s="8">
        <f>202.7+61.8+8.87+27.3+3.68+8.4+2.68+9.72+0.46+3.17</f>
        <v>328.78000000000003</v>
      </c>
      <c r="G824" s="13">
        <f>F824/4521.28/12*1000</f>
        <v>6.059862103946966</v>
      </c>
    </row>
    <row r="825" spans="2:7" ht="12.75">
      <c r="B825" s="2"/>
      <c r="C825" s="15" t="s">
        <v>23</v>
      </c>
      <c r="D825" s="9">
        <v>50.46</v>
      </c>
      <c r="E825" s="13">
        <f>D825/4521.28/12*1000</f>
        <v>0.9300463585533302</v>
      </c>
      <c r="F825" s="9">
        <v>11.8</v>
      </c>
      <c r="G825" s="13">
        <f>F825/4521.28/12*1000</f>
        <v>0.2174900323212306</v>
      </c>
    </row>
    <row r="826" spans="2:7" ht="12.75">
      <c r="B826" s="2"/>
      <c r="C826" s="20" t="s">
        <v>24</v>
      </c>
      <c r="D826" s="9">
        <v>4.34</v>
      </c>
      <c r="E826" s="13">
        <f>D826/4521.28/12*1000</f>
        <v>0.07999209663340175</v>
      </c>
      <c r="F826" s="9">
        <v>7.9</v>
      </c>
      <c r="G826" s="13">
        <f>F826/4521.28/12*1000</f>
        <v>0.14560773350319675</v>
      </c>
    </row>
    <row r="827" spans="2:7" ht="12.75">
      <c r="B827" s="11" t="s">
        <v>25</v>
      </c>
      <c r="C827" s="11"/>
      <c r="D827" s="13">
        <v>32.01</v>
      </c>
      <c r="E827" s="13">
        <f>D827/4521.28/12*1000</f>
        <v>0.5899877910680161</v>
      </c>
      <c r="F827" s="13">
        <v>33.47</v>
      </c>
      <c r="G827" s="13">
        <f>F827/4521.28/12*1000</f>
        <v>0.6168975747281007</v>
      </c>
    </row>
    <row r="828" spans="2:7" ht="12.75">
      <c r="B828" s="21" t="s">
        <v>26</v>
      </c>
      <c r="C828" s="21"/>
      <c r="D828" s="13">
        <v>167.65</v>
      </c>
      <c r="E828" s="13">
        <f>D828/4521.28/12*1000</f>
        <v>3.090017281241891</v>
      </c>
      <c r="F828" s="1">
        <f>30.4+139.4</f>
        <v>169.8</v>
      </c>
      <c r="G828" s="13">
        <f>F828/4521.28/12*1000</f>
        <v>3.129644702385165</v>
      </c>
    </row>
    <row r="829" spans="2:7" ht="12.75">
      <c r="B829" s="2"/>
      <c r="C829" s="10" t="s">
        <v>28</v>
      </c>
      <c r="D829" s="12">
        <f>D818+D819+D823+D827+D828</f>
        <v>980.5599999999998</v>
      </c>
      <c r="E829" s="12">
        <f>E818+E819+E823+E827+E828</f>
        <v>18.073053058720834</v>
      </c>
      <c r="F829" s="12">
        <f>F818+F819+F823+F827+F828</f>
        <v>1099.65</v>
      </c>
      <c r="G829" s="13">
        <f>G818+G819+G823+G827+G828</f>
        <v>20.268043562884845</v>
      </c>
    </row>
    <row r="830" spans="2:7" ht="12.75">
      <c r="B830" s="2">
        <v>4</v>
      </c>
      <c r="C830" s="10" t="s">
        <v>29</v>
      </c>
      <c r="D830" s="13">
        <v>98.06</v>
      </c>
      <c r="E830" s="13">
        <v>1.81</v>
      </c>
      <c r="F830" s="12"/>
      <c r="G830" s="12"/>
    </row>
    <row r="831" spans="2:7" ht="12.75">
      <c r="B831" s="5">
        <v>5</v>
      </c>
      <c r="C831" s="10" t="s">
        <v>13</v>
      </c>
      <c r="D831" s="13">
        <f>D829+D830</f>
        <v>1078.62</v>
      </c>
      <c r="E831" s="13">
        <f>E829+E830</f>
        <v>19.883053058720833</v>
      </c>
      <c r="F831" s="13">
        <f>F829-F815/1000</f>
        <v>-18.368369999999913</v>
      </c>
      <c r="G831" s="13"/>
    </row>
    <row r="832" spans="2:7" ht="12.75">
      <c r="B832" s="23"/>
      <c r="C832" s="23"/>
      <c r="D832" s="25"/>
      <c r="E832" s="25"/>
      <c r="F832" s="23"/>
      <c r="G832" s="23"/>
    </row>
    <row r="833" spans="2:7" ht="12.75">
      <c r="B833" s="11" t="s">
        <v>30</v>
      </c>
      <c r="C833" s="11"/>
      <c r="D833" s="33" t="s">
        <v>6</v>
      </c>
      <c r="E833" s="25"/>
      <c r="F833" s="25"/>
      <c r="G833" s="25"/>
    </row>
    <row r="834" spans="2:7" ht="12.75">
      <c r="B834" s="25"/>
      <c r="C834" s="34" t="s">
        <v>31</v>
      </c>
      <c r="D834" s="35">
        <v>29116.49</v>
      </c>
      <c r="E834" s="25"/>
      <c r="F834" s="25"/>
      <c r="G834" s="25"/>
    </row>
    <row r="835" spans="2:7" ht="12.75">
      <c r="B835" s="5"/>
      <c r="C835" s="23" t="s">
        <v>32</v>
      </c>
      <c r="D835" s="35">
        <v>26413.73</v>
      </c>
      <c r="E835" s="25"/>
      <c r="F835" s="25"/>
      <c r="G835" s="25"/>
    </row>
    <row r="836" spans="2:7" ht="12.75">
      <c r="B836" s="5"/>
      <c r="C836" s="36" t="s">
        <v>13</v>
      </c>
      <c r="D836" s="33">
        <f>D835-D834</f>
        <v>-2702.760000000002</v>
      </c>
      <c r="E836" s="25"/>
      <c r="F836" s="25"/>
      <c r="G836" s="25"/>
    </row>
    <row r="837" spans="2:7" ht="12.75">
      <c r="B837" s="5"/>
      <c r="C837" s="34" t="s">
        <v>33</v>
      </c>
      <c r="D837" s="35">
        <v>64202.35</v>
      </c>
      <c r="E837" s="25"/>
      <c r="F837" s="25"/>
      <c r="G837" s="25"/>
    </row>
    <row r="838" spans="2:7" ht="12.75">
      <c r="B838" s="5"/>
      <c r="C838" s="23" t="s">
        <v>34</v>
      </c>
      <c r="D838" s="35">
        <v>56021.07</v>
      </c>
      <c r="E838" s="25"/>
      <c r="F838" s="25"/>
      <c r="G838" s="25"/>
    </row>
    <row r="839" spans="2:7" ht="12.75">
      <c r="B839" s="5"/>
      <c r="C839" s="36" t="s">
        <v>13</v>
      </c>
      <c r="D839" s="33">
        <f>D838-D837</f>
        <v>-8181.279999999999</v>
      </c>
      <c r="E839" s="25"/>
      <c r="F839" s="25"/>
      <c r="G839" s="25"/>
    </row>
    <row r="840" spans="2:7" ht="12.75">
      <c r="B840" s="5"/>
      <c r="C840" s="34" t="s">
        <v>76</v>
      </c>
      <c r="D840" s="35">
        <v>272628.45</v>
      </c>
      <c r="E840" s="25"/>
      <c r="F840" s="25"/>
      <c r="G840" s="25"/>
    </row>
    <row r="841" spans="2:7" ht="12.75">
      <c r="B841" s="5"/>
      <c r="C841" s="23" t="s">
        <v>77</v>
      </c>
      <c r="D841" s="35">
        <v>279153.93</v>
      </c>
      <c r="E841" s="25"/>
      <c r="F841" s="25"/>
      <c r="G841" s="25"/>
    </row>
    <row r="842" spans="2:7" ht="12.75">
      <c r="B842" s="5"/>
      <c r="C842" s="36" t="s">
        <v>13</v>
      </c>
      <c r="D842" s="33">
        <f>D841-D840</f>
        <v>6525.479999999981</v>
      </c>
      <c r="E842" s="25"/>
      <c r="F842" s="25"/>
      <c r="G842" s="25"/>
    </row>
    <row r="843" spans="2:7" ht="12.75">
      <c r="B843" s="5"/>
      <c r="C843" s="34" t="s">
        <v>42</v>
      </c>
      <c r="D843" s="35">
        <v>24369.73</v>
      </c>
      <c r="E843" s="25"/>
      <c r="F843" s="25"/>
      <c r="G843" s="25"/>
    </row>
    <row r="844" spans="2:7" ht="12.75">
      <c r="B844" s="5"/>
      <c r="C844" s="23" t="s">
        <v>43</v>
      </c>
      <c r="D844" s="35">
        <v>18152.92</v>
      </c>
      <c r="E844" s="25"/>
      <c r="F844" s="25"/>
      <c r="G844" s="25"/>
    </row>
    <row r="845" spans="2:7" ht="12.75">
      <c r="B845" s="5"/>
      <c r="C845" s="36" t="s">
        <v>13</v>
      </c>
      <c r="D845" s="33">
        <f>D844-D843</f>
        <v>-6216.810000000001</v>
      </c>
      <c r="E845" s="25"/>
      <c r="F845" s="25"/>
      <c r="G845" s="25"/>
    </row>
    <row r="846" spans="2:7" ht="12.75">
      <c r="B846" s="11"/>
      <c r="C846" s="11" t="s">
        <v>35</v>
      </c>
      <c r="D846" s="27">
        <f>D836+D839+D842+D845</f>
        <v>-10575.37000000002</v>
      </c>
      <c r="E846" s="25"/>
      <c r="F846" s="25"/>
      <c r="G846" s="25"/>
    </row>
    <row r="847" spans="2:7" ht="12.75">
      <c r="B847" s="11"/>
      <c r="C847" s="11"/>
      <c r="D847" s="27"/>
      <c r="E847" s="25"/>
      <c r="F847" s="25"/>
      <c r="G847" s="25"/>
    </row>
    <row r="848" spans="2:7" ht="12.75">
      <c r="B848" s="11"/>
      <c r="C848" s="14" t="s">
        <v>44</v>
      </c>
      <c r="D848" s="27" t="s">
        <v>37</v>
      </c>
      <c r="E848" s="25"/>
      <c r="F848" s="46">
        <v>-7.79</v>
      </c>
      <c r="G848" s="25"/>
    </row>
    <row r="849" spans="2:7" ht="12.75">
      <c r="B849" s="11"/>
      <c r="C849" s="14" t="s">
        <v>38</v>
      </c>
      <c r="D849" s="27"/>
      <c r="E849" s="25"/>
      <c r="F849" s="47">
        <v>494.4</v>
      </c>
      <c r="G849" s="25"/>
    </row>
    <row r="850" spans="2:7" ht="12.75">
      <c r="B850" s="23" t="s">
        <v>39</v>
      </c>
      <c r="C850" s="23"/>
      <c r="D850" s="23"/>
      <c r="E850" s="23"/>
      <c r="F850" s="23"/>
      <c r="G850" s="23"/>
    </row>
    <row r="852" spans="2:7" ht="12.75">
      <c r="B852" s="1" t="s">
        <v>0</v>
      </c>
      <c r="C852" s="1"/>
      <c r="D852" s="1"/>
      <c r="E852" s="1"/>
      <c r="F852" s="1"/>
      <c r="G852" s="1"/>
    </row>
    <row r="853" spans="2:7" ht="12.75">
      <c r="B853" s="1" t="s">
        <v>51</v>
      </c>
      <c r="C853" s="1"/>
      <c r="D853" s="1"/>
      <c r="E853" s="1"/>
      <c r="F853" s="1"/>
      <c r="G853" s="1"/>
    </row>
    <row r="854" spans="2:7" ht="12.75">
      <c r="B854" s="1" t="s">
        <v>89</v>
      </c>
      <c r="C854" s="1"/>
      <c r="D854" s="1"/>
      <c r="E854" s="1"/>
      <c r="F854" s="1"/>
      <c r="G854" s="1"/>
    </row>
    <row r="855" spans="2:7" ht="12.75" customHeight="1">
      <c r="B855" s="2"/>
      <c r="C855" s="2" t="s">
        <v>3</v>
      </c>
      <c r="D855" s="3" t="s">
        <v>41</v>
      </c>
      <c r="E855" s="3"/>
      <c r="F855" s="4" t="s">
        <v>5</v>
      </c>
      <c r="G855" s="4"/>
    </row>
    <row r="856" spans="2:7" ht="12.75">
      <c r="B856" s="2"/>
      <c r="C856" s="2"/>
      <c r="D856" s="3" t="s">
        <v>6</v>
      </c>
      <c r="E856" s="3" t="s">
        <v>7</v>
      </c>
      <c r="F856" s="3" t="s">
        <v>6</v>
      </c>
      <c r="G856" s="3" t="s">
        <v>8</v>
      </c>
    </row>
    <row r="857" spans="2:7" ht="12.75">
      <c r="B857" s="5">
        <v>1</v>
      </c>
      <c r="C857" s="6" t="s">
        <v>9</v>
      </c>
      <c r="D857" s="1">
        <v>3755.43</v>
      </c>
      <c r="E857" s="1"/>
      <c r="F857" s="1">
        <v>3755.43</v>
      </c>
      <c r="G857" s="1"/>
    </row>
    <row r="858" spans="2:7" ht="12.75">
      <c r="B858" s="5">
        <v>2</v>
      </c>
      <c r="C858" s="7" t="s">
        <v>10</v>
      </c>
      <c r="D858" s="8"/>
      <c r="E858" s="8"/>
      <c r="F858" s="8" t="s">
        <v>3</v>
      </c>
      <c r="G858" s="8"/>
    </row>
    <row r="859" spans="2:7" ht="12.75">
      <c r="B859" s="5"/>
      <c r="C859" s="6" t="s">
        <v>11</v>
      </c>
      <c r="D859" s="9"/>
      <c r="E859" s="9"/>
      <c r="F859" s="9">
        <v>940999.45</v>
      </c>
      <c r="G859" s="9"/>
    </row>
    <row r="860" spans="2:7" ht="12.75">
      <c r="B860" s="5"/>
      <c r="C860" s="2" t="s">
        <v>12</v>
      </c>
      <c r="D860" s="9"/>
      <c r="E860" s="9"/>
      <c r="F860" s="9">
        <v>960000.01</v>
      </c>
      <c r="G860" s="9"/>
    </row>
    <row r="861" spans="2:7" ht="12.75">
      <c r="B861" s="5"/>
      <c r="C861" s="2" t="s">
        <v>13</v>
      </c>
      <c r="D861" s="9"/>
      <c r="E861" s="9"/>
      <c r="F861" s="9">
        <f>F860-F859</f>
        <v>19000.560000000056</v>
      </c>
      <c r="G861" s="9"/>
    </row>
    <row r="862" spans="2:7" ht="12.75">
      <c r="B862" s="5">
        <v>3</v>
      </c>
      <c r="C862" s="10" t="s">
        <v>14</v>
      </c>
      <c r="D862" s="1" t="s">
        <v>15</v>
      </c>
      <c r="E862" s="1"/>
      <c r="F862" s="1" t="s">
        <v>15</v>
      </c>
      <c r="G862" s="1"/>
    </row>
    <row r="863" spans="2:7" ht="12.75">
      <c r="B863" s="11" t="s">
        <v>16</v>
      </c>
      <c r="C863" s="11"/>
      <c r="D863" s="13">
        <v>122.1</v>
      </c>
      <c r="E863" s="13">
        <f>D863/3755.43/12*1000</f>
        <v>2.7094101074976766</v>
      </c>
      <c r="F863" s="13">
        <v>127.03</v>
      </c>
      <c r="G863" s="13">
        <f>F863/3755.43/12*1000</f>
        <v>2.8188072559822266</v>
      </c>
    </row>
    <row r="864" spans="2:7" ht="12.75" customHeight="1">
      <c r="B864" s="14" t="s">
        <v>17</v>
      </c>
      <c r="C864" s="14"/>
      <c r="D864" s="1">
        <f>D865+D866+D867</f>
        <v>252.89999999999998</v>
      </c>
      <c r="E864" s="13">
        <f>D864/3755.43/12*1000</f>
        <v>5.6118740064386765</v>
      </c>
      <c r="F864" s="1">
        <f>F865+F866+F867</f>
        <v>494.75</v>
      </c>
      <c r="G864" s="13">
        <f>F864/3755.43/12*1000</f>
        <v>10.978547507653362</v>
      </c>
    </row>
    <row r="865" spans="2:7" ht="12.75">
      <c r="B865" s="2"/>
      <c r="C865" s="15" t="s">
        <v>18</v>
      </c>
      <c r="D865" s="9">
        <v>196.1</v>
      </c>
      <c r="E865" s="13">
        <f>D865/3755.43/12*1000</f>
        <v>4.351476839314451</v>
      </c>
      <c r="F865" s="9">
        <f>72.1+3.9+120.65</f>
        <v>196.65</v>
      </c>
      <c r="G865" s="13">
        <f>F865/3755.43/12*1000</f>
        <v>4.3636813893482245</v>
      </c>
    </row>
    <row r="866" spans="2:7" ht="12.75">
      <c r="B866" s="2"/>
      <c r="C866" s="15" t="s">
        <v>19</v>
      </c>
      <c r="D866" s="17">
        <v>56.8</v>
      </c>
      <c r="E866" s="13">
        <f>D866/3755.43/12*1000</f>
        <v>1.2603971671242264</v>
      </c>
      <c r="F866" s="45">
        <v>298.1</v>
      </c>
      <c r="G866" s="13">
        <f>F866/3755.43/12*1000</f>
        <v>6.61486611830514</v>
      </c>
    </row>
    <row r="867" spans="2:7" ht="12.75">
      <c r="B867" s="32" t="s">
        <v>20</v>
      </c>
      <c r="C867" s="32"/>
      <c r="D867" s="18">
        <v>0</v>
      </c>
      <c r="E867" s="13">
        <f>D867/3755.43/12*1000</f>
        <v>0</v>
      </c>
      <c r="F867" s="18">
        <v>0</v>
      </c>
      <c r="G867" s="13">
        <f>F867/3755.43/12*1000</f>
        <v>0</v>
      </c>
    </row>
    <row r="868" spans="2:7" ht="12.75" customHeight="1">
      <c r="B868" s="19" t="s">
        <v>21</v>
      </c>
      <c r="C868" s="19"/>
      <c r="D868" s="13">
        <f>D869+D871+D870</f>
        <v>281.59999999999997</v>
      </c>
      <c r="E868" s="13">
        <f>D868/3755.43/12*1000</f>
        <v>6.248729617291938</v>
      </c>
      <c r="F868" s="13">
        <f>F869+F871+F870</f>
        <v>281.29</v>
      </c>
      <c r="G868" s="13">
        <f>F868/3755.43/12*1000</f>
        <v>6.241850689091086</v>
      </c>
    </row>
    <row r="869" spans="2:7" ht="12.75">
      <c r="B869" s="2"/>
      <c r="C869" s="15" t="s">
        <v>22</v>
      </c>
      <c r="D869" s="9">
        <v>236.1</v>
      </c>
      <c r="E869" s="13">
        <f>D869/3755.43/12*1000</f>
        <v>5.239080478134328</v>
      </c>
      <c r="F869" s="8">
        <f>168.4+51.36+7.37+22.7+3.06+3.27+1+0.38+2.6</f>
        <v>260.14</v>
      </c>
      <c r="G869" s="13">
        <f>F869/3755.43/12*1000</f>
        <v>5.7725302650650745</v>
      </c>
    </row>
    <row r="870" spans="2:7" ht="12.75">
      <c r="B870" s="2"/>
      <c r="C870" s="15" t="s">
        <v>23</v>
      </c>
      <c r="D870" s="9">
        <v>41.9</v>
      </c>
      <c r="E870" s="13">
        <f>D870/3755.43/12*1000</f>
        <v>0.929764811663822</v>
      </c>
      <c r="F870" s="9">
        <v>11.05</v>
      </c>
      <c r="G870" s="13">
        <f>F870/3755.43/12*1000</f>
        <v>0.24520050522399128</v>
      </c>
    </row>
    <row r="871" spans="2:7" ht="12.75">
      <c r="B871" s="2"/>
      <c r="C871" s="20" t="s">
        <v>24</v>
      </c>
      <c r="D871" s="9">
        <v>3.6</v>
      </c>
      <c r="E871" s="13">
        <f>D871/3755.43/12*1000</f>
        <v>0.079884327493789</v>
      </c>
      <c r="F871" s="9">
        <v>10.1</v>
      </c>
      <c r="G871" s="13">
        <f>F871/3755.43/12*1000</f>
        <v>0.22411991880201912</v>
      </c>
    </row>
    <row r="872" spans="2:7" ht="12.75">
      <c r="B872" s="11" t="s">
        <v>25</v>
      </c>
      <c r="C872" s="11"/>
      <c r="D872" s="13">
        <v>26.6</v>
      </c>
      <c r="E872" s="13">
        <f>D872/3755.43/12*1000</f>
        <v>0.5902564198152187</v>
      </c>
      <c r="F872" s="13">
        <v>28.7</v>
      </c>
      <c r="G872" s="13">
        <f>F872/3755.43/12*1000</f>
        <v>0.6368556108532623</v>
      </c>
    </row>
    <row r="873" spans="2:7" ht="12.75">
      <c r="B873" s="21" t="s">
        <v>26</v>
      </c>
      <c r="C873" s="21"/>
      <c r="D873" s="13">
        <v>139.3</v>
      </c>
      <c r="E873" s="13">
        <f>D873/3755.43/12*1000</f>
        <v>3.091079672190224</v>
      </c>
      <c r="F873" s="1">
        <f>25.2+115.8</f>
        <v>141</v>
      </c>
      <c r="G873" s="13">
        <f>F873/3755.43/12*1000</f>
        <v>3.128802826840069</v>
      </c>
    </row>
    <row r="874" spans="2:7" ht="12.75">
      <c r="B874" s="21"/>
      <c r="C874" s="22" t="s">
        <v>27</v>
      </c>
      <c r="D874" s="13">
        <v>0</v>
      </c>
      <c r="E874" s="13">
        <v>0</v>
      </c>
      <c r="F874" s="1">
        <v>24.2</v>
      </c>
      <c r="G874" s="13">
        <f>F874/3755.43/12*1000</f>
        <v>0.537000201486026</v>
      </c>
    </row>
    <row r="875" spans="2:7" ht="12.75">
      <c r="B875" s="2"/>
      <c r="C875" s="10" t="s">
        <v>28</v>
      </c>
      <c r="D875" s="12">
        <f>D863+D864+D868+D872+D873</f>
        <v>822.5</v>
      </c>
      <c r="E875" s="12">
        <f>E863+E864+E868+E872+E873</f>
        <v>18.25134982323374</v>
      </c>
      <c r="F875" s="12">
        <f>F863+F864+F868+F872+F873+F874</f>
        <v>1096.97</v>
      </c>
      <c r="G875" s="13">
        <f>G863+G864+G868+G872+G873+G874</f>
        <v>24.341864091906036</v>
      </c>
    </row>
    <row r="876" spans="2:7" ht="12.75">
      <c r="B876" s="2">
        <v>4</v>
      </c>
      <c r="C876" s="10" t="s">
        <v>29</v>
      </c>
      <c r="D876" s="13">
        <v>82.2</v>
      </c>
      <c r="E876" s="12">
        <v>1.8</v>
      </c>
      <c r="F876" s="12"/>
      <c r="G876" s="12"/>
    </row>
    <row r="877" spans="2:7" ht="12.75">
      <c r="B877" s="5">
        <v>5</v>
      </c>
      <c r="C877" s="10" t="s">
        <v>13</v>
      </c>
      <c r="D877" s="13">
        <f>D875+D876</f>
        <v>904.7</v>
      </c>
      <c r="E877" s="13">
        <f>E875+E876</f>
        <v>20.05134982323374</v>
      </c>
      <c r="F877" s="13">
        <f>F875-F860/1000</f>
        <v>136.96999000000005</v>
      </c>
      <c r="G877" s="13"/>
    </row>
    <row r="878" spans="2:7" ht="12.75">
      <c r="B878" s="23"/>
      <c r="C878" s="23"/>
      <c r="D878" s="25"/>
      <c r="E878" s="25"/>
      <c r="F878" s="23"/>
      <c r="G878" s="23"/>
    </row>
    <row r="879" spans="2:7" ht="12.75">
      <c r="B879" s="11" t="s">
        <v>30</v>
      </c>
      <c r="C879" s="11"/>
      <c r="D879" s="33" t="s">
        <v>6</v>
      </c>
      <c r="E879" s="25"/>
      <c r="F879" s="25"/>
      <c r="G879" s="25"/>
    </row>
    <row r="880" spans="2:7" ht="12.75">
      <c r="B880" s="25"/>
      <c r="C880" s="34" t="s">
        <v>31</v>
      </c>
      <c r="D880" s="35">
        <v>25987.26</v>
      </c>
      <c r="E880" s="25"/>
      <c r="F880" s="25"/>
      <c r="G880" s="25"/>
    </row>
    <row r="881" spans="2:7" ht="12.75">
      <c r="B881" s="5"/>
      <c r="C881" s="23" t="s">
        <v>32</v>
      </c>
      <c r="D881" s="35">
        <v>24119.65</v>
      </c>
      <c r="E881" s="25"/>
      <c r="F881" s="25"/>
      <c r="G881" s="25"/>
    </row>
    <row r="882" spans="2:7" ht="12.75">
      <c r="B882" s="5"/>
      <c r="C882" s="36" t="s">
        <v>13</v>
      </c>
      <c r="D882" s="33">
        <f>D881-D880</f>
        <v>-1867.609999999997</v>
      </c>
      <c r="E882" s="25"/>
      <c r="F882" s="25"/>
      <c r="G882" s="25"/>
    </row>
    <row r="883" spans="2:7" ht="12.75">
      <c r="B883" s="5"/>
      <c r="C883" s="34" t="s">
        <v>33</v>
      </c>
      <c r="D883" s="35">
        <v>30794.01</v>
      </c>
      <c r="E883" s="25"/>
      <c r="F883" s="25"/>
      <c r="G883" s="25"/>
    </row>
    <row r="884" spans="2:7" ht="12.75">
      <c r="B884" s="5"/>
      <c r="C884" s="23" t="s">
        <v>34</v>
      </c>
      <c r="D884" s="35">
        <v>31034.1</v>
      </c>
      <c r="E884" s="25"/>
      <c r="F884" s="25"/>
      <c r="G884" s="25"/>
    </row>
    <row r="885" spans="2:7" ht="12.75">
      <c r="B885" s="5"/>
      <c r="C885" s="36" t="s">
        <v>13</v>
      </c>
      <c r="D885" s="33">
        <f>D884-D883</f>
        <v>240.09000000000015</v>
      </c>
      <c r="E885" s="25"/>
      <c r="F885" s="25"/>
      <c r="G885" s="25"/>
    </row>
    <row r="886" spans="2:7" ht="12.75">
      <c r="B886" s="5"/>
      <c r="C886" s="34" t="s">
        <v>76</v>
      </c>
      <c r="D886" s="35">
        <v>51340.96</v>
      </c>
      <c r="E886" s="25"/>
      <c r="F886" s="25"/>
      <c r="G886" s="25"/>
    </row>
    <row r="887" spans="2:7" ht="12.75">
      <c r="B887" s="5"/>
      <c r="C887" s="23" t="s">
        <v>77</v>
      </c>
      <c r="D887" s="35">
        <v>46250.16</v>
      </c>
      <c r="E887" s="25"/>
      <c r="F887" s="25"/>
      <c r="G887" s="25"/>
    </row>
    <row r="888" spans="2:7" ht="12.75">
      <c r="B888" s="5"/>
      <c r="C888" s="36" t="s">
        <v>13</v>
      </c>
      <c r="D888" s="33">
        <f>D887-D886</f>
        <v>-5090.799999999996</v>
      </c>
      <c r="E888" s="25"/>
      <c r="F888" s="25"/>
      <c r="G888" s="25"/>
    </row>
    <row r="889" spans="2:7" ht="12.75">
      <c r="B889" s="5"/>
      <c r="C889" s="34" t="s">
        <v>42</v>
      </c>
      <c r="D889" s="35">
        <v>13629.97</v>
      </c>
      <c r="E889" s="25"/>
      <c r="F889" s="25"/>
      <c r="G889" s="25"/>
    </row>
    <row r="890" spans="2:7" ht="12.75">
      <c r="B890" s="5"/>
      <c r="C890" s="23" t="s">
        <v>43</v>
      </c>
      <c r="D890" s="35">
        <v>10208.78</v>
      </c>
      <c r="E890" s="25"/>
      <c r="F890" s="25"/>
      <c r="G890" s="25"/>
    </row>
    <row r="891" spans="2:7" ht="12.75">
      <c r="B891" s="5"/>
      <c r="C891" s="36" t="s">
        <v>13</v>
      </c>
      <c r="D891" s="33">
        <f>D890-D889</f>
        <v>-3421.1899999999987</v>
      </c>
      <c r="E891" s="25"/>
      <c r="F891" s="25"/>
      <c r="G891" s="25"/>
    </row>
    <row r="892" spans="2:7" ht="12.75">
      <c r="B892" s="11"/>
      <c r="C892" s="11" t="s">
        <v>35</v>
      </c>
      <c r="D892" s="27">
        <f>D882+D885+D888+D891</f>
        <v>-10139.509999999991</v>
      </c>
      <c r="E892" s="25"/>
      <c r="F892" s="25"/>
      <c r="G892" s="25"/>
    </row>
    <row r="893" spans="2:7" ht="12.75">
      <c r="B893" s="11"/>
      <c r="C893" s="11"/>
      <c r="D893" s="27"/>
      <c r="E893" s="25"/>
      <c r="F893" s="25"/>
      <c r="G893" s="25"/>
    </row>
    <row r="894" spans="2:7" ht="12.75">
      <c r="B894" s="11"/>
      <c r="C894" s="14" t="s">
        <v>44</v>
      </c>
      <c r="D894" s="27" t="s">
        <v>37</v>
      </c>
      <c r="E894" s="25"/>
      <c r="F894" s="46">
        <v>147.11</v>
      </c>
      <c r="G894" s="25"/>
    </row>
    <row r="895" spans="2:7" ht="12.75">
      <c r="B895" s="11"/>
      <c r="C895" s="14" t="s">
        <v>38</v>
      </c>
      <c r="D895" s="27"/>
      <c r="E895" s="25"/>
      <c r="F895" s="46">
        <v>594.4</v>
      </c>
      <c r="G895" s="25"/>
    </row>
    <row r="896" spans="2:7" ht="12.75">
      <c r="B896" s="23" t="s">
        <v>39</v>
      </c>
      <c r="C896" s="23"/>
      <c r="D896" s="23"/>
      <c r="E896" s="23"/>
      <c r="F896" s="23"/>
      <c r="G896" s="23"/>
    </row>
    <row r="897" spans="2:4" ht="12.75">
      <c r="B897" s="29"/>
      <c r="C897" s="48"/>
      <c r="D897" s="49"/>
    </row>
    <row r="898" spans="2:7" ht="12.75">
      <c r="B898" s="1" t="s">
        <v>0</v>
      </c>
      <c r="C898" s="1"/>
      <c r="D898" s="1"/>
      <c r="E898" s="1"/>
      <c r="F898" s="1"/>
      <c r="G898" s="1"/>
    </row>
    <row r="899" spans="2:7" ht="12.75">
      <c r="B899" s="1" t="s">
        <v>51</v>
      </c>
      <c r="C899" s="1"/>
      <c r="D899" s="1"/>
      <c r="E899" s="1"/>
      <c r="F899" s="1"/>
      <c r="G899" s="1"/>
    </row>
    <row r="900" spans="2:7" ht="12.75">
      <c r="B900" s="1" t="s">
        <v>90</v>
      </c>
      <c r="C900" s="1"/>
      <c r="D900" s="1"/>
      <c r="E900" s="1"/>
      <c r="F900" s="1"/>
      <c r="G900" s="1"/>
    </row>
    <row r="901" spans="2:7" ht="12.75" customHeight="1">
      <c r="B901" s="2"/>
      <c r="C901" s="2" t="s">
        <v>3</v>
      </c>
      <c r="D901" s="3" t="s">
        <v>4</v>
      </c>
      <c r="E901" s="3"/>
      <c r="F901" s="4" t="s">
        <v>5</v>
      </c>
      <c r="G901" s="4"/>
    </row>
    <row r="902" spans="2:7" ht="12.75">
      <c r="B902" s="2"/>
      <c r="C902" s="2"/>
      <c r="D902" s="3" t="s">
        <v>6</v>
      </c>
      <c r="E902" s="3" t="s">
        <v>7</v>
      </c>
      <c r="F902" s="3" t="s">
        <v>6</v>
      </c>
      <c r="G902" s="3" t="s">
        <v>8</v>
      </c>
    </row>
    <row r="903" spans="2:7" ht="12.75">
      <c r="B903" s="5">
        <v>1</v>
      </c>
      <c r="C903" s="6" t="s">
        <v>9</v>
      </c>
      <c r="D903" s="1">
        <v>424.59</v>
      </c>
      <c r="E903" s="1"/>
      <c r="F903" s="1">
        <v>424.59</v>
      </c>
      <c r="G903" s="1"/>
    </row>
    <row r="904" spans="2:7" ht="12.75">
      <c r="B904" s="5">
        <v>2</v>
      </c>
      <c r="C904" s="7" t="s">
        <v>67</v>
      </c>
      <c r="D904" s="8"/>
      <c r="E904" s="8"/>
      <c r="F904" s="8" t="s">
        <v>3</v>
      </c>
      <c r="G904" s="8"/>
    </row>
    <row r="905" spans="2:7" ht="12.75">
      <c r="B905" s="5"/>
      <c r="C905" s="2" t="s">
        <v>49</v>
      </c>
      <c r="D905" s="9"/>
      <c r="E905" s="9"/>
      <c r="F905" s="9">
        <v>98191.86</v>
      </c>
      <c r="G905" s="9"/>
    </row>
    <row r="906" spans="2:7" ht="12.75">
      <c r="B906" s="5"/>
      <c r="C906" s="2" t="s">
        <v>50</v>
      </c>
      <c r="D906" s="9"/>
      <c r="E906" s="9"/>
      <c r="F906" s="9">
        <v>98719.03</v>
      </c>
      <c r="G906" s="9"/>
    </row>
    <row r="907" spans="2:7" ht="12.75">
      <c r="B907" s="5"/>
      <c r="C907" s="2" t="s">
        <v>13</v>
      </c>
      <c r="D907" s="9"/>
      <c r="E907" s="9"/>
      <c r="F907" s="9">
        <f>F906-F905</f>
        <v>527.1699999999983</v>
      </c>
      <c r="G907" s="9"/>
    </row>
    <row r="908" spans="2:7" ht="12.75">
      <c r="B908" s="5">
        <v>3</v>
      </c>
      <c r="C908" s="10" t="s">
        <v>14</v>
      </c>
      <c r="D908" s="1" t="s">
        <v>15</v>
      </c>
      <c r="E908" s="1"/>
      <c r="F908" s="1" t="s">
        <v>15</v>
      </c>
      <c r="G908" s="1"/>
    </row>
    <row r="909" spans="2:7" ht="12.75">
      <c r="B909" s="11" t="s">
        <v>16</v>
      </c>
      <c r="C909" s="11"/>
      <c r="D909" s="13">
        <v>13.8</v>
      </c>
      <c r="E909" s="13">
        <v>2.71</v>
      </c>
      <c r="F909" s="13">
        <v>13.26</v>
      </c>
      <c r="G909" s="13">
        <f>F909/424.59/12*1000</f>
        <v>2.602510657340022</v>
      </c>
    </row>
    <row r="910" spans="2:7" ht="12.75" customHeight="1">
      <c r="B910" s="14" t="s">
        <v>17</v>
      </c>
      <c r="C910" s="14"/>
      <c r="D910" s="1">
        <f>D911+D912+D913</f>
        <v>28.6</v>
      </c>
      <c r="E910" s="13">
        <f>D910/424.59/12*1000</f>
        <v>5.613258280537304</v>
      </c>
      <c r="F910" s="1">
        <f>F911+F912+F913</f>
        <v>37.68</v>
      </c>
      <c r="G910" s="13">
        <f>F910/424.59/12*1000</f>
        <v>7.395369650721873</v>
      </c>
    </row>
    <row r="911" spans="2:7" ht="12.75">
      <c r="B911" s="2"/>
      <c r="C911" s="15" t="s">
        <v>18</v>
      </c>
      <c r="D911" s="9">
        <v>22.18</v>
      </c>
      <c r="E911" s="13">
        <f>D911/424.59/12*1000</f>
        <v>4.353219183997111</v>
      </c>
      <c r="F911" s="9">
        <f>8.15+0.39+13.64</f>
        <v>22.18</v>
      </c>
      <c r="G911" s="13">
        <f>F911/424.59/12*1000</f>
        <v>4.353219183997111</v>
      </c>
    </row>
    <row r="912" spans="2:7" ht="12.75">
      <c r="B912" s="2"/>
      <c r="C912" s="15" t="s">
        <v>19</v>
      </c>
      <c r="D912" s="9">
        <v>6.42</v>
      </c>
      <c r="E912" s="13">
        <f>D912/424.59/12*1000</f>
        <v>1.2600390965401917</v>
      </c>
      <c r="F912" s="45">
        <v>15.5</v>
      </c>
      <c r="G912" s="13">
        <f>F912/424.59/12*1000</f>
        <v>3.0421504667247623</v>
      </c>
    </row>
    <row r="913" spans="2:7" ht="12.75">
      <c r="B913" s="32" t="s">
        <v>20</v>
      </c>
      <c r="C913" s="32"/>
      <c r="D913" s="18">
        <v>0</v>
      </c>
      <c r="E913" s="13">
        <f>D913/424.59/12*1000</f>
        <v>0</v>
      </c>
      <c r="F913" s="18">
        <v>0</v>
      </c>
      <c r="G913" s="13">
        <f>F913/424.59/12*1000</f>
        <v>0</v>
      </c>
    </row>
    <row r="914" spans="2:7" ht="12.75" customHeight="1">
      <c r="B914" s="19" t="s">
        <v>21</v>
      </c>
      <c r="C914" s="19"/>
      <c r="D914" s="13">
        <f>D915+D917+D916</f>
        <v>31.8366436</v>
      </c>
      <c r="E914" s="13">
        <f>D914/424.59/12*1000</f>
        <v>6.248507108818703</v>
      </c>
      <c r="F914" s="13">
        <f>F915+F917+F916</f>
        <v>36.519999999999996</v>
      </c>
      <c r="G914" s="13">
        <f>F914/424.59/12*1000</f>
        <v>7.167699035147632</v>
      </c>
    </row>
    <row r="915" spans="2:7" ht="12.75">
      <c r="B915" s="2"/>
      <c r="C915" s="15" t="s">
        <v>22</v>
      </c>
      <c r="D915" s="9">
        <f>E915*D903*12/1000</f>
        <v>26.6982192</v>
      </c>
      <c r="E915" s="13">
        <v>5.24</v>
      </c>
      <c r="F915" s="8">
        <f>19.04+5.8+0.8+2.57+0.34+5.35+2.28+0.04+0.3</f>
        <v>36.519999999999996</v>
      </c>
      <c r="G915" s="13">
        <f>F915/424.59/12*1000</f>
        <v>7.167699035147632</v>
      </c>
    </row>
    <row r="916" spans="2:7" ht="12.75">
      <c r="B916" s="2"/>
      <c r="C916" s="15" t="s">
        <v>23</v>
      </c>
      <c r="D916" s="9">
        <f>E916*D903*12/1000</f>
        <v>4.7384243999999995</v>
      </c>
      <c r="E916" s="13">
        <v>0.93</v>
      </c>
      <c r="F916" s="9">
        <v>0</v>
      </c>
      <c r="G916" s="13">
        <f>F916/424.59/12*1000</f>
        <v>0</v>
      </c>
    </row>
    <row r="917" spans="2:7" ht="12.75">
      <c r="B917" s="2"/>
      <c r="C917" s="20" t="s">
        <v>24</v>
      </c>
      <c r="D917" s="9">
        <v>0.4</v>
      </c>
      <c r="E917" s="13">
        <f>D917/424.59/12*1000</f>
        <v>0.07850710881870354</v>
      </c>
      <c r="F917" s="9">
        <v>0</v>
      </c>
      <c r="G917" s="13">
        <f>F917/424.59/12*1000</f>
        <v>0</v>
      </c>
    </row>
    <row r="918" spans="2:7" ht="12.75">
      <c r="B918" s="11" t="s">
        <v>25</v>
      </c>
      <c r="C918" s="11"/>
      <c r="D918" s="13">
        <f>E918*D903*12/1000</f>
        <v>3.0060971999999997</v>
      </c>
      <c r="E918" s="13">
        <v>0.59</v>
      </c>
      <c r="F918" s="13">
        <v>2.96</v>
      </c>
      <c r="G918" s="13">
        <f>F918/424.59/12*1000</f>
        <v>0.5809526052584062</v>
      </c>
    </row>
    <row r="919" spans="2:7" ht="12.75">
      <c r="B919" s="21" t="s">
        <v>26</v>
      </c>
      <c r="C919" s="21"/>
      <c r="D919" s="13">
        <f>E919*D903*12/1000</f>
        <v>15.7437972</v>
      </c>
      <c r="E919" s="13">
        <v>3.09</v>
      </c>
      <c r="F919" s="1">
        <f>2.85+13.1</f>
        <v>15.95</v>
      </c>
      <c r="G919" s="13">
        <f>F919/424.59/12*1000</f>
        <v>3.1304709641458035</v>
      </c>
    </row>
    <row r="920" spans="2:7" ht="12.75">
      <c r="B920" s="2"/>
      <c r="C920" s="10" t="s">
        <v>28</v>
      </c>
      <c r="D920" s="12">
        <f>D909+D910+D914+D918+D919</f>
        <v>92.98653800000001</v>
      </c>
      <c r="E920" s="12">
        <f>E909+E910+E914+E918+E919</f>
        <v>18.251765389356006</v>
      </c>
      <c r="F920" s="12">
        <f>F909+F910+F914+F918+F919</f>
        <v>106.36999999999999</v>
      </c>
      <c r="G920" s="13">
        <f>G909+G910+G914+G918+G919</f>
        <v>20.877002912613737</v>
      </c>
    </row>
    <row r="921" spans="2:7" ht="12.75">
      <c r="B921" s="2">
        <v>4</v>
      </c>
      <c r="C921" s="10" t="s">
        <v>29</v>
      </c>
      <c r="D921" s="13">
        <v>9.3</v>
      </c>
      <c r="E921" s="12">
        <v>1.8</v>
      </c>
      <c r="F921" s="12"/>
      <c r="G921" s="12"/>
    </row>
    <row r="922" spans="2:7" ht="12.75">
      <c r="B922" s="5">
        <v>5</v>
      </c>
      <c r="C922" s="10" t="s">
        <v>13</v>
      </c>
      <c r="D922" s="13">
        <f>D920+D921</f>
        <v>102.28653800000001</v>
      </c>
      <c r="E922" s="13">
        <f>E920+E921</f>
        <v>20.051765389356007</v>
      </c>
      <c r="F922" s="13">
        <f>F920-F906/1000</f>
        <v>7.650969999999987</v>
      </c>
      <c r="G922" s="13"/>
    </row>
    <row r="923" spans="2:7" ht="12.75">
      <c r="B923" s="23"/>
      <c r="C923" s="23"/>
      <c r="D923" s="25"/>
      <c r="E923" s="25"/>
      <c r="F923" s="23"/>
      <c r="G923" s="23"/>
    </row>
    <row r="924" spans="2:7" ht="12.75">
      <c r="B924" s="23"/>
      <c r="C924" s="14" t="s">
        <v>45</v>
      </c>
      <c r="D924" s="25"/>
      <c r="E924" s="25"/>
      <c r="F924" s="27">
        <v>-5.6</v>
      </c>
      <c r="G924" s="23"/>
    </row>
    <row r="925" spans="2:7" ht="12.75">
      <c r="B925" s="23" t="s">
        <v>39</v>
      </c>
      <c r="C925" s="23"/>
      <c r="D925" s="23"/>
      <c r="E925" s="23"/>
      <c r="F925" s="23"/>
      <c r="G925" s="23"/>
    </row>
    <row r="927" spans="2:7" ht="12.75">
      <c r="B927" s="1" t="s">
        <v>0</v>
      </c>
      <c r="C927" s="1"/>
      <c r="D927" s="1"/>
      <c r="E927" s="1"/>
      <c r="F927" s="1"/>
      <c r="G927" s="1"/>
    </row>
    <row r="928" spans="2:7" ht="12.75">
      <c r="B928" s="1" t="s">
        <v>51</v>
      </c>
      <c r="C928" s="1"/>
      <c r="D928" s="1"/>
      <c r="E928" s="1"/>
      <c r="F928" s="1"/>
      <c r="G928" s="1"/>
    </row>
    <row r="929" spans="2:7" ht="12.75">
      <c r="B929" s="1" t="s">
        <v>91</v>
      </c>
      <c r="C929" s="1"/>
      <c r="D929" s="1"/>
      <c r="E929" s="1"/>
      <c r="F929" s="1"/>
      <c r="G929" s="1"/>
    </row>
    <row r="930" spans="2:7" ht="12.75" customHeight="1">
      <c r="B930" s="2"/>
      <c r="C930" s="2" t="s">
        <v>3</v>
      </c>
      <c r="D930" s="3" t="s">
        <v>41</v>
      </c>
      <c r="E930" s="3"/>
      <c r="F930" s="4" t="s">
        <v>5</v>
      </c>
      <c r="G930" s="4"/>
    </row>
    <row r="931" spans="2:7" ht="12.75">
      <c r="B931" s="2"/>
      <c r="C931" s="2"/>
      <c r="D931" s="3" t="s">
        <v>6</v>
      </c>
      <c r="E931" s="3" t="s">
        <v>7</v>
      </c>
      <c r="F931" s="3" t="s">
        <v>6</v>
      </c>
      <c r="G931" s="3" t="s">
        <v>8</v>
      </c>
    </row>
    <row r="932" spans="2:7" ht="12.75">
      <c r="B932" s="5">
        <v>1</v>
      </c>
      <c r="C932" s="6" t="s">
        <v>9</v>
      </c>
      <c r="D932" s="1">
        <v>371.6</v>
      </c>
      <c r="E932" s="1"/>
      <c r="F932" s="1">
        <v>371.6</v>
      </c>
      <c r="G932" s="1"/>
    </row>
    <row r="933" spans="2:7" ht="12.75">
      <c r="B933" s="5">
        <v>2</v>
      </c>
      <c r="C933" s="7" t="s">
        <v>67</v>
      </c>
      <c r="D933" s="8"/>
      <c r="E933" s="8"/>
      <c r="F933" s="8" t="s">
        <v>3</v>
      </c>
      <c r="G933" s="8"/>
    </row>
    <row r="934" spans="2:7" ht="12.75">
      <c r="B934" s="5"/>
      <c r="C934" s="2" t="s">
        <v>49</v>
      </c>
      <c r="D934" s="9"/>
      <c r="E934" s="9"/>
      <c r="F934" s="9">
        <v>89406.96</v>
      </c>
      <c r="G934" s="9"/>
    </row>
    <row r="935" spans="2:7" ht="12.75">
      <c r="B935" s="5"/>
      <c r="C935" s="2" t="s">
        <v>50</v>
      </c>
      <c r="D935" s="9"/>
      <c r="E935" s="9"/>
      <c r="F935" s="9">
        <v>90343.11</v>
      </c>
      <c r="G935" s="9"/>
    </row>
    <row r="936" spans="2:7" ht="12.75">
      <c r="B936" s="5"/>
      <c r="C936" s="2" t="s">
        <v>13</v>
      </c>
      <c r="D936" s="9"/>
      <c r="E936" s="9"/>
      <c r="F936" s="9">
        <f>F935-F934</f>
        <v>936.1499999999942</v>
      </c>
      <c r="G936" s="9"/>
    </row>
    <row r="937" spans="2:7" ht="12.75">
      <c r="B937" s="5">
        <v>3</v>
      </c>
      <c r="C937" s="10" t="s">
        <v>14</v>
      </c>
      <c r="D937" s="1" t="s">
        <v>15</v>
      </c>
      <c r="E937" s="1"/>
      <c r="F937" s="1" t="s">
        <v>15</v>
      </c>
      <c r="G937" s="1"/>
    </row>
    <row r="938" spans="2:7" ht="12.75">
      <c r="B938" s="11" t="s">
        <v>16</v>
      </c>
      <c r="C938" s="11"/>
      <c r="D938" s="13">
        <f>E938*D932*12/1000</f>
        <v>12.084432000000001</v>
      </c>
      <c r="E938" s="13">
        <v>2.71</v>
      </c>
      <c r="F938" s="13">
        <v>12.07</v>
      </c>
      <c r="G938" s="13">
        <f>F938/371.6/12*1000</f>
        <v>2.7067635450304985</v>
      </c>
    </row>
    <row r="939" spans="2:7" ht="12.75" customHeight="1">
      <c r="B939" s="14" t="s">
        <v>17</v>
      </c>
      <c r="C939" s="14"/>
      <c r="D939" s="1">
        <f>D940+D941+D942</f>
        <v>25.009999999999998</v>
      </c>
      <c r="E939" s="13">
        <f>D939/371.6/12*1000</f>
        <v>5.608629350556153</v>
      </c>
      <c r="F939" s="12">
        <f>F940+F941+F942</f>
        <v>28.29</v>
      </c>
      <c r="G939" s="13">
        <f>F939/371.6/12*1000</f>
        <v>6.344187298170074</v>
      </c>
    </row>
    <row r="940" spans="2:7" ht="12.75">
      <c r="B940" s="2"/>
      <c r="C940" s="15" t="s">
        <v>18</v>
      </c>
      <c r="D940" s="9">
        <v>19.41</v>
      </c>
      <c r="E940" s="13">
        <f>D940/371.6/12*1000</f>
        <v>4.352798708288482</v>
      </c>
      <c r="F940" s="9">
        <f>7.13+3.02+11.94</f>
        <v>22.09</v>
      </c>
      <c r="G940" s="13">
        <f>F940/371.6/12*1000</f>
        <v>4.953803372802296</v>
      </c>
    </row>
    <row r="941" spans="2:7" ht="12.75">
      <c r="B941" s="2"/>
      <c r="C941" s="15" t="s">
        <v>19</v>
      </c>
      <c r="D941" s="18">
        <v>5.6</v>
      </c>
      <c r="E941" s="13">
        <f>D941/371.6/12*1000</f>
        <v>1.2558306422676713</v>
      </c>
      <c r="F941" s="45">
        <v>6.2</v>
      </c>
      <c r="G941" s="13">
        <f>F941/371.6/12*1000</f>
        <v>1.390383925367779</v>
      </c>
    </row>
    <row r="942" spans="2:7" ht="12.75">
      <c r="B942" s="32" t="s">
        <v>20</v>
      </c>
      <c r="C942" s="32"/>
      <c r="D942" s="18">
        <v>0</v>
      </c>
      <c r="E942" s="13">
        <f>D942/371.6/12*1000</f>
        <v>0</v>
      </c>
      <c r="F942" s="18">
        <v>0</v>
      </c>
      <c r="G942" s="13">
        <f>F942/371.6/12*1000</f>
        <v>0</v>
      </c>
    </row>
    <row r="943" spans="2:7" ht="12.75" customHeight="1">
      <c r="B943" s="19" t="s">
        <v>21</v>
      </c>
      <c r="C943" s="19"/>
      <c r="D943" s="13">
        <f>D944+D946+D945</f>
        <v>27.873264000000002</v>
      </c>
      <c r="E943" s="13">
        <f>D943/371.6/12*1000</f>
        <v>6.250731969860065</v>
      </c>
      <c r="F943" s="13">
        <f>F944+F946+F945</f>
        <v>29.630000000000003</v>
      </c>
      <c r="G943" s="13">
        <f>F943/371.6/12*1000</f>
        <v>6.644689630426983</v>
      </c>
    </row>
    <row r="944" spans="2:7" ht="12.75">
      <c r="B944" s="2"/>
      <c r="C944" s="15" t="s">
        <v>22</v>
      </c>
      <c r="D944" s="9">
        <f>E944*D932*12/1000</f>
        <v>23.366208000000004</v>
      </c>
      <c r="E944" s="13">
        <v>5.24</v>
      </c>
      <c r="F944" s="8">
        <f>16.66+5.08+0.73+2.25+0.3+1.34+1.67+0.04+0.26</f>
        <v>28.330000000000002</v>
      </c>
      <c r="G944" s="13">
        <f>F944/371.6/12*1000</f>
        <v>6.353157517043416</v>
      </c>
    </row>
    <row r="945" spans="2:7" ht="12.75">
      <c r="B945" s="2"/>
      <c r="C945" s="15" t="s">
        <v>23</v>
      </c>
      <c r="D945" s="9">
        <f>E945*D932*12/1000</f>
        <v>4.147056</v>
      </c>
      <c r="E945" s="13">
        <v>0.93</v>
      </c>
      <c r="F945" s="9">
        <v>1.3</v>
      </c>
      <c r="G945" s="13">
        <f>F945/371.6/12*1000</f>
        <v>0.29153211338356655</v>
      </c>
    </row>
    <row r="946" spans="2:7" ht="12.75">
      <c r="B946" s="2"/>
      <c r="C946" s="20" t="s">
        <v>24</v>
      </c>
      <c r="D946" s="9">
        <v>0.36</v>
      </c>
      <c r="E946" s="13">
        <f>D946/371.6/12*1000</f>
        <v>0.08073196986006458</v>
      </c>
      <c r="F946" s="9">
        <v>0</v>
      </c>
      <c r="G946" s="13">
        <f>F946/371.6/12*1000</f>
        <v>0</v>
      </c>
    </row>
    <row r="947" spans="2:7" ht="12.75">
      <c r="B947" s="11" t="s">
        <v>25</v>
      </c>
      <c r="C947" s="11"/>
      <c r="D947" s="13">
        <f>E947*D932*12/1000</f>
        <v>2.630928</v>
      </c>
      <c r="E947" s="13">
        <v>0.59</v>
      </c>
      <c r="F947" s="13">
        <v>2.7</v>
      </c>
      <c r="G947" s="13">
        <f>F947/371.6/12*1000</f>
        <v>0.6054897739504844</v>
      </c>
    </row>
    <row r="948" spans="2:7" ht="12.75">
      <c r="B948" s="21" t="s">
        <v>26</v>
      </c>
      <c r="C948" s="21"/>
      <c r="D948" s="13">
        <f>E948*D932*12/1000</f>
        <v>13.778928</v>
      </c>
      <c r="E948" s="13">
        <v>3.09</v>
      </c>
      <c r="F948" s="1">
        <f>2.5+11.46</f>
        <v>13.96</v>
      </c>
      <c r="G948" s="13">
        <f>F948/371.6/12*1000</f>
        <v>3.130606386795838</v>
      </c>
    </row>
    <row r="949" spans="2:7" ht="12.75">
      <c r="B949" s="2"/>
      <c r="C949" s="10" t="s">
        <v>28</v>
      </c>
      <c r="D949" s="12">
        <f>D938+D939+D943+D947+D948</f>
        <v>81.37755200000001</v>
      </c>
      <c r="E949" s="12">
        <f>E938+E939+E943+E947+E948</f>
        <v>18.249361320416217</v>
      </c>
      <c r="F949" s="12">
        <f>F938+F939+F943+F947+F948</f>
        <v>86.65</v>
      </c>
      <c r="G949" s="13">
        <f>G938+G939+G943+G947+G948</f>
        <v>19.431736634373877</v>
      </c>
    </row>
    <row r="950" spans="2:7" ht="12.75">
      <c r="B950" s="2">
        <v>4</v>
      </c>
      <c r="C950" s="10" t="s">
        <v>29</v>
      </c>
      <c r="D950" s="13">
        <v>8.14</v>
      </c>
      <c r="E950" s="12">
        <v>1.8</v>
      </c>
      <c r="F950" s="12"/>
      <c r="G950" s="12"/>
    </row>
    <row r="951" spans="2:7" ht="12.75">
      <c r="B951" s="5">
        <v>5</v>
      </c>
      <c r="C951" s="10" t="s">
        <v>13</v>
      </c>
      <c r="D951" s="13">
        <f>D949+D950</f>
        <v>89.51755200000001</v>
      </c>
      <c r="E951" s="13">
        <f>E949+E950</f>
        <v>20.049361320416217</v>
      </c>
      <c r="F951" s="13">
        <f>F949-F935/1000</f>
        <v>-3.69310999999999</v>
      </c>
      <c r="G951" s="13"/>
    </row>
    <row r="952" spans="2:7" ht="12.75">
      <c r="B952" s="23"/>
      <c r="C952" s="23"/>
      <c r="D952" s="25"/>
      <c r="E952" s="25"/>
      <c r="F952" s="23"/>
      <c r="G952" s="23"/>
    </row>
    <row r="953" spans="2:7" ht="12.75">
      <c r="B953" s="23"/>
      <c r="C953" s="14" t="s">
        <v>38</v>
      </c>
      <c r="D953" s="25"/>
      <c r="E953" s="25"/>
      <c r="F953" s="13">
        <v>28</v>
      </c>
      <c r="G953" s="23"/>
    </row>
    <row r="954" spans="2:7" ht="12.75">
      <c r="B954" s="23" t="s">
        <v>59</v>
      </c>
      <c r="C954" s="23"/>
      <c r="D954" s="23"/>
      <c r="E954" s="23"/>
      <c r="F954" s="23"/>
      <c r="G954" s="23"/>
    </row>
    <row r="956" spans="2:7" ht="12.75">
      <c r="B956" s="1" t="s">
        <v>0</v>
      </c>
      <c r="C956" s="1"/>
      <c r="D956" s="1"/>
      <c r="E956" s="1"/>
      <c r="F956" s="1"/>
      <c r="G956" s="1"/>
    </row>
    <row r="957" spans="2:7" ht="12.75">
      <c r="B957" s="1" t="s">
        <v>51</v>
      </c>
      <c r="C957" s="1"/>
      <c r="D957" s="1"/>
      <c r="E957" s="1"/>
      <c r="F957" s="1"/>
      <c r="G957" s="1"/>
    </row>
    <row r="958" spans="2:7" ht="12.75">
      <c r="B958" s="1" t="s">
        <v>92</v>
      </c>
      <c r="C958" s="1"/>
      <c r="D958" s="1"/>
      <c r="E958" s="1"/>
      <c r="F958" s="1"/>
      <c r="G958" s="1"/>
    </row>
    <row r="959" spans="2:7" ht="12.75" customHeight="1">
      <c r="B959" s="2"/>
      <c r="C959" s="2" t="s">
        <v>3</v>
      </c>
      <c r="D959" s="3" t="s">
        <v>41</v>
      </c>
      <c r="E959" s="3"/>
      <c r="F959" s="4" t="s">
        <v>5</v>
      </c>
      <c r="G959" s="4"/>
    </row>
    <row r="960" spans="2:7" ht="12.75">
      <c r="B960" s="2"/>
      <c r="C960" s="2"/>
      <c r="D960" s="3" t="s">
        <v>6</v>
      </c>
      <c r="E960" s="3" t="s">
        <v>7</v>
      </c>
      <c r="F960" s="3" t="s">
        <v>6</v>
      </c>
      <c r="G960" s="3" t="s">
        <v>8</v>
      </c>
    </row>
    <row r="961" spans="2:7" ht="12.75">
      <c r="B961" s="5">
        <v>1</v>
      </c>
      <c r="C961" s="6" t="s">
        <v>9</v>
      </c>
      <c r="D961" s="1">
        <v>616.3</v>
      </c>
      <c r="E961" s="1"/>
      <c r="F961" s="1">
        <v>616.3</v>
      </c>
      <c r="G961" s="1"/>
    </row>
    <row r="962" spans="2:7" ht="12.75">
      <c r="B962" s="5">
        <v>2</v>
      </c>
      <c r="C962" s="7" t="s">
        <v>67</v>
      </c>
      <c r="D962" s="8"/>
      <c r="E962" s="8"/>
      <c r="F962" s="8" t="s">
        <v>3</v>
      </c>
      <c r="G962" s="8"/>
    </row>
    <row r="963" spans="2:7" ht="12.75">
      <c r="B963" s="5"/>
      <c r="C963" s="2" t="s">
        <v>49</v>
      </c>
      <c r="D963" s="9"/>
      <c r="E963" s="9"/>
      <c r="F963" s="9">
        <v>148281.78</v>
      </c>
      <c r="G963" s="9"/>
    </row>
    <row r="964" spans="2:7" ht="12.75">
      <c r="B964" s="5"/>
      <c r="C964" s="2" t="s">
        <v>50</v>
      </c>
      <c r="D964" s="9"/>
      <c r="E964" s="9"/>
      <c r="F964" s="9">
        <v>133418.34</v>
      </c>
      <c r="G964" s="9"/>
    </row>
    <row r="965" spans="2:7" ht="12.75">
      <c r="B965" s="5"/>
      <c r="C965" s="2" t="s">
        <v>13</v>
      </c>
      <c r="D965" s="9"/>
      <c r="E965" s="9"/>
      <c r="F965" s="9">
        <f>F964-F963</f>
        <v>-14863.440000000002</v>
      </c>
      <c r="G965" s="9"/>
    </row>
    <row r="966" spans="2:7" ht="12.75">
      <c r="B966" s="5">
        <v>3</v>
      </c>
      <c r="C966" s="10" t="s">
        <v>14</v>
      </c>
      <c r="D966" s="1" t="s">
        <v>15</v>
      </c>
      <c r="E966" s="1"/>
      <c r="F966" s="1" t="s">
        <v>15</v>
      </c>
      <c r="G966" s="1"/>
    </row>
    <row r="967" spans="2:7" ht="12.75">
      <c r="B967" s="11" t="s">
        <v>16</v>
      </c>
      <c r="C967" s="11"/>
      <c r="D967" s="13">
        <f>E967*D961*12/1000</f>
        <v>20.042075999999998</v>
      </c>
      <c r="E967" s="13">
        <v>2.71</v>
      </c>
      <c r="F967" s="13">
        <v>20</v>
      </c>
      <c r="G967" s="13">
        <f>F967/616.3/12*1000</f>
        <v>2.7043106712099085</v>
      </c>
    </row>
    <row r="968" spans="2:7" ht="12.75" customHeight="1">
      <c r="B968" s="14" t="s">
        <v>17</v>
      </c>
      <c r="C968" s="14"/>
      <c r="D968" s="1">
        <f>D969+D970+D971</f>
        <v>41.51</v>
      </c>
      <c r="E968" s="13">
        <f>D968/616.3/12*1000</f>
        <v>5.6127967980961655</v>
      </c>
      <c r="F968" s="12">
        <f>F969+F970+F971</f>
        <v>45.85</v>
      </c>
      <c r="G968" s="13">
        <f>F968/616.3/12*1000</f>
        <v>6.199632213748716</v>
      </c>
    </row>
    <row r="969" spans="2:7" ht="12.75">
      <c r="B969" s="2"/>
      <c r="C969" s="15" t="s">
        <v>18</v>
      </c>
      <c r="D969" s="9">
        <v>32.19</v>
      </c>
      <c r="E969" s="13">
        <f>D969/616.3/12*1000</f>
        <v>4.352588025312348</v>
      </c>
      <c r="F969" s="9">
        <f>11.83+1.52+19.8</f>
        <v>33.15</v>
      </c>
      <c r="G969" s="13">
        <f>F969/616.3/12*1000</f>
        <v>4.482394937530424</v>
      </c>
    </row>
    <row r="970" spans="2:7" ht="12.75">
      <c r="B970" s="2"/>
      <c r="C970" s="15" t="s">
        <v>19</v>
      </c>
      <c r="D970" s="17">
        <v>9.32</v>
      </c>
      <c r="E970" s="13">
        <f>D970/616.3/12*1000</f>
        <v>1.2602087727838174</v>
      </c>
      <c r="F970" s="45">
        <v>11.3</v>
      </c>
      <c r="G970" s="13">
        <f>F970/616.3/12*1000</f>
        <v>1.5279355292335983</v>
      </c>
    </row>
    <row r="971" spans="2:7" ht="12.75">
      <c r="B971" s="32" t="s">
        <v>20</v>
      </c>
      <c r="C971" s="32"/>
      <c r="D971" s="18">
        <v>0</v>
      </c>
      <c r="E971" s="13">
        <f>D971/616.3/12*1000</f>
        <v>0</v>
      </c>
      <c r="F971" s="18">
        <v>1.4</v>
      </c>
      <c r="G971" s="13">
        <f>F971/616.3/12*1000</f>
        <v>0.18930174698469363</v>
      </c>
    </row>
    <row r="972" spans="2:7" ht="12.75" customHeight="1">
      <c r="B972" s="19" t="s">
        <v>21</v>
      </c>
      <c r="C972" s="19"/>
      <c r="D972" s="13">
        <f>D973+D975+D974</f>
        <v>46.230852</v>
      </c>
      <c r="E972" s="13">
        <f>D972/616.3/12*1000</f>
        <v>6.251129320136297</v>
      </c>
      <c r="F972" s="13">
        <f>F973+F975+F974</f>
        <v>50.68</v>
      </c>
      <c r="G972" s="13">
        <f>F972/616.3/12*1000</f>
        <v>6.852723240845908</v>
      </c>
    </row>
    <row r="973" spans="2:7" ht="12.75">
      <c r="B973" s="2"/>
      <c r="C973" s="15" t="s">
        <v>22</v>
      </c>
      <c r="D973" s="9">
        <f>E973*D961*12/1000</f>
        <v>38.752944</v>
      </c>
      <c r="E973" s="13">
        <v>5.24</v>
      </c>
      <c r="F973" s="8">
        <f>27.64+8.43+1.21+3.73+0.5+8+0.06+0.43</f>
        <v>50</v>
      </c>
      <c r="G973" s="13">
        <f>F973/616.3/12*1000</f>
        <v>6.760776678024772</v>
      </c>
    </row>
    <row r="974" spans="2:7" ht="12.75">
      <c r="B974" s="2"/>
      <c r="C974" s="15" t="s">
        <v>23</v>
      </c>
      <c r="D974" s="9">
        <f>E974*D961*12/1000</f>
        <v>6.877908</v>
      </c>
      <c r="E974" s="13">
        <v>0.93</v>
      </c>
      <c r="F974" s="9">
        <v>0.68</v>
      </c>
      <c r="G974" s="13">
        <f>F974/616.3/12*1000</f>
        <v>0.0919465628211369</v>
      </c>
    </row>
    <row r="975" spans="2:7" ht="12.75">
      <c r="B975" s="2"/>
      <c r="C975" s="20" t="s">
        <v>24</v>
      </c>
      <c r="D975" s="9">
        <v>0.6000000000000001</v>
      </c>
      <c r="E975" s="13">
        <f>D975/616.3/12*1000</f>
        <v>0.08112932013629727</v>
      </c>
      <c r="F975" s="9">
        <v>0</v>
      </c>
      <c r="G975" s="13">
        <f>F975/616.3/12*1000</f>
        <v>0</v>
      </c>
    </row>
    <row r="976" spans="2:7" ht="12.75">
      <c r="B976" s="11" t="s">
        <v>25</v>
      </c>
      <c r="C976" s="11"/>
      <c r="D976" s="13">
        <f>E976*D961*12/1000</f>
        <v>4.363403999999999</v>
      </c>
      <c r="E976" s="13">
        <v>0.59</v>
      </c>
      <c r="F976" s="13">
        <v>4</v>
      </c>
      <c r="G976" s="13">
        <f>F976/616.3/12*1000</f>
        <v>0.5408621342419818</v>
      </c>
    </row>
    <row r="977" spans="2:7" ht="12.75">
      <c r="B977" s="21" t="s">
        <v>26</v>
      </c>
      <c r="C977" s="21"/>
      <c r="D977" s="13">
        <f>E977*D961*12/1000</f>
        <v>22.852403999999996</v>
      </c>
      <c r="E977" s="13">
        <v>3.09</v>
      </c>
      <c r="F977" s="1">
        <f>4.14+19</f>
        <v>23.14</v>
      </c>
      <c r="G977" s="13">
        <f>F977/616.3/12*1000</f>
        <v>3.1288874465898644</v>
      </c>
    </row>
    <row r="978" spans="2:7" ht="12.75">
      <c r="B978" s="2"/>
      <c r="C978" s="10" t="s">
        <v>28</v>
      </c>
      <c r="D978" s="12">
        <f>D967+D968+D972+D976+D977</f>
        <v>134.998736</v>
      </c>
      <c r="E978" s="12">
        <f>E967+E968+E972+E976+E977</f>
        <v>18.253926118232464</v>
      </c>
      <c r="F978" s="13">
        <f>F967+F968+F972+F976+F977</f>
        <v>143.67000000000002</v>
      </c>
      <c r="G978" s="13">
        <f>G967+G968+G972+G976+G977</f>
        <v>19.42641570663638</v>
      </c>
    </row>
    <row r="979" spans="2:7" ht="12.75">
      <c r="B979" s="2">
        <v>4</v>
      </c>
      <c r="C979" s="10" t="s">
        <v>29</v>
      </c>
      <c r="D979" s="13">
        <v>13.5</v>
      </c>
      <c r="E979" s="12">
        <v>1.8</v>
      </c>
      <c r="F979" s="12"/>
      <c r="G979" s="12"/>
    </row>
    <row r="980" spans="2:7" ht="12.75">
      <c r="B980" s="5">
        <v>5</v>
      </c>
      <c r="C980" s="10" t="s">
        <v>13</v>
      </c>
      <c r="D980" s="13">
        <f>D978+D979</f>
        <v>148.498736</v>
      </c>
      <c r="E980" s="13">
        <f>E978+E979</f>
        <v>20.053926118232464</v>
      </c>
      <c r="F980" s="13">
        <f>F978-F964/1000</f>
        <v>10.251660000000015</v>
      </c>
      <c r="G980" s="13"/>
    </row>
    <row r="981" spans="2:7" ht="12.75">
      <c r="B981" s="5"/>
      <c r="C981" s="10"/>
      <c r="D981" s="13"/>
      <c r="E981" s="13"/>
      <c r="F981" s="13"/>
      <c r="G981" s="13"/>
    </row>
    <row r="982" spans="2:7" ht="12.75">
      <c r="B982" s="23"/>
      <c r="C982" s="14" t="s">
        <v>38</v>
      </c>
      <c r="D982" s="25"/>
      <c r="E982" s="25"/>
      <c r="F982" s="1">
        <v>119.4</v>
      </c>
      <c r="G982" s="23"/>
    </row>
    <row r="983" spans="2:7" ht="12.75">
      <c r="B983" s="23" t="s">
        <v>39</v>
      </c>
      <c r="C983" s="23"/>
      <c r="D983" s="23"/>
      <c r="E983" s="23"/>
      <c r="F983" s="23"/>
      <c r="G983" s="23"/>
    </row>
    <row r="985" spans="2:7" ht="12.75">
      <c r="B985" s="1" t="s">
        <v>0</v>
      </c>
      <c r="C985" s="1"/>
      <c r="D985" s="1"/>
      <c r="E985" s="1"/>
      <c r="F985" s="1"/>
      <c r="G985" s="1"/>
    </row>
    <row r="986" spans="2:7" ht="12.75">
      <c r="B986" s="1" t="s">
        <v>51</v>
      </c>
      <c r="C986" s="1"/>
      <c r="D986" s="1"/>
      <c r="E986" s="1"/>
      <c r="F986" s="1"/>
      <c r="G986" s="1"/>
    </row>
    <row r="987" spans="2:7" ht="12.75">
      <c r="B987" s="1" t="s">
        <v>93</v>
      </c>
      <c r="C987" s="1"/>
      <c r="D987" s="1"/>
      <c r="E987" s="1"/>
      <c r="F987" s="1"/>
      <c r="G987" s="1"/>
    </row>
    <row r="988" spans="2:7" ht="12.75" customHeight="1">
      <c r="B988" s="2"/>
      <c r="C988" s="2" t="s">
        <v>3</v>
      </c>
      <c r="D988" s="3" t="s">
        <v>41</v>
      </c>
      <c r="E988" s="3"/>
      <c r="F988" s="4" t="s">
        <v>5</v>
      </c>
      <c r="G988" s="4"/>
    </row>
    <row r="989" spans="2:7" ht="12.75">
      <c r="B989" s="2"/>
      <c r="C989" s="2"/>
      <c r="D989" s="3" t="s">
        <v>6</v>
      </c>
      <c r="E989" s="3" t="s">
        <v>7</v>
      </c>
      <c r="F989" s="3" t="s">
        <v>6</v>
      </c>
      <c r="G989" s="3" t="s">
        <v>8</v>
      </c>
    </row>
    <row r="990" spans="2:7" ht="12.75">
      <c r="B990" s="5">
        <v>1</v>
      </c>
      <c r="C990" s="6" t="s">
        <v>9</v>
      </c>
      <c r="D990" s="1">
        <v>3906.1</v>
      </c>
      <c r="E990" s="1"/>
      <c r="F990" s="1">
        <v>3906.1</v>
      </c>
      <c r="G990" s="1"/>
    </row>
    <row r="991" spans="2:7" ht="12.75">
      <c r="B991" s="5">
        <v>2</v>
      </c>
      <c r="C991" s="7" t="s">
        <v>10</v>
      </c>
      <c r="D991" s="8"/>
      <c r="E991" s="8"/>
      <c r="F991" s="8" t="s">
        <v>3</v>
      </c>
      <c r="G991" s="8"/>
    </row>
    <row r="992" spans="2:7" ht="12.75">
      <c r="B992" s="5"/>
      <c r="C992" s="6" t="s">
        <v>11</v>
      </c>
      <c r="D992" s="9"/>
      <c r="E992" s="9"/>
      <c r="F992" s="9">
        <v>871822.68</v>
      </c>
      <c r="G992" s="9"/>
    </row>
    <row r="993" spans="2:7" ht="12.75">
      <c r="B993" s="5"/>
      <c r="C993" s="2" t="s">
        <v>12</v>
      </c>
      <c r="D993" s="9"/>
      <c r="E993" s="9"/>
      <c r="F993" s="9">
        <v>882311.26</v>
      </c>
      <c r="G993" s="9"/>
    </row>
    <row r="994" spans="2:7" ht="12.75">
      <c r="B994" s="5"/>
      <c r="C994" s="2" t="s">
        <v>13</v>
      </c>
      <c r="D994" s="9"/>
      <c r="E994" s="9"/>
      <c r="F994" s="9">
        <f>F993-F992</f>
        <v>10488.579999999958</v>
      </c>
      <c r="G994" s="9"/>
    </row>
    <row r="995" spans="2:7" ht="12.75">
      <c r="B995" s="5">
        <v>3</v>
      </c>
      <c r="C995" s="10" t="s">
        <v>14</v>
      </c>
      <c r="D995" s="1" t="s">
        <v>15</v>
      </c>
      <c r="E995" s="1"/>
      <c r="F995" s="1" t="s">
        <v>15</v>
      </c>
      <c r="G995" s="1"/>
    </row>
    <row r="996" spans="2:7" ht="12.75">
      <c r="B996" s="11" t="s">
        <v>16</v>
      </c>
      <c r="C996" s="11"/>
      <c r="D996" s="13">
        <f>E996*D990*12/1000</f>
        <v>127.026372</v>
      </c>
      <c r="E996" s="13">
        <v>2.71</v>
      </c>
      <c r="F996" s="13">
        <v>117.7</v>
      </c>
      <c r="G996" s="13">
        <f>F996/3906.1/12*1000</f>
        <v>2.5110297568759976</v>
      </c>
    </row>
    <row r="997" spans="2:7" ht="12.75" customHeight="1">
      <c r="B997" s="14" t="s">
        <v>17</v>
      </c>
      <c r="C997" s="14"/>
      <c r="D997" s="1">
        <f>D998+D999+D1000</f>
        <v>263</v>
      </c>
      <c r="E997" s="13">
        <f>D997/3906.1/12*1000</f>
        <v>5.61088212454025</v>
      </c>
      <c r="F997" s="1">
        <f>F998+F999+F1000</f>
        <v>266.77000000000004</v>
      </c>
      <c r="G997" s="13">
        <f>F997/3906.1/12*1000</f>
        <v>5.691311879709516</v>
      </c>
    </row>
    <row r="998" spans="2:7" ht="12.75">
      <c r="B998" s="2"/>
      <c r="C998" s="15" t="s">
        <v>18</v>
      </c>
      <c r="D998" s="9">
        <v>204</v>
      </c>
      <c r="E998" s="13">
        <v>4.2</v>
      </c>
      <c r="F998" s="9">
        <f>75+3.58+125.49</f>
        <v>204.07</v>
      </c>
      <c r="G998" s="13">
        <f>F998/3906.1/12*1000</f>
        <v>4.353660513897067</v>
      </c>
    </row>
    <row r="999" spans="2:7" ht="12.75">
      <c r="B999" s="2"/>
      <c r="C999" s="15" t="s">
        <v>19</v>
      </c>
      <c r="D999" s="17">
        <v>59</v>
      </c>
      <c r="E999" s="13">
        <v>1.4</v>
      </c>
      <c r="F999" s="45">
        <v>57.1</v>
      </c>
      <c r="G999" s="13">
        <f>F999/3906.1/12*1000</f>
        <v>1.2181801114496131</v>
      </c>
    </row>
    <row r="1000" spans="2:7" ht="12.75">
      <c r="B1000" s="32" t="s">
        <v>20</v>
      </c>
      <c r="C1000" s="32"/>
      <c r="D1000" s="18">
        <v>0</v>
      </c>
      <c r="E1000" s="13">
        <f>D1000/3906.1/12*1000</f>
        <v>0</v>
      </c>
      <c r="F1000" s="18">
        <v>5.6</v>
      </c>
      <c r="G1000" s="13">
        <f>F1000/3906.1/12*1000</f>
        <v>0.11947125436283419</v>
      </c>
    </row>
    <row r="1001" spans="2:7" ht="12.75" customHeight="1">
      <c r="B1001" s="19" t="s">
        <v>21</v>
      </c>
      <c r="C1001" s="19"/>
      <c r="D1001" s="13">
        <f>D1002+D1004+D1003</f>
        <v>292.957644</v>
      </c>
      <c r="E1001" s="13">
        <f>D1001/3906.1/12*1000</f>
        <v>6.250003072117969</v>
      </c>
      <c r="F1001" s="13">
        <f>F1002+F1004+F1003</f>
        <v>289.12</v>
      </c>
      <c r="G1001" s="13">
        <f>F1001/3906.1/12*1000</f>
        <v>6.1681301895326115</v>
      </c>
    </row>
    <row r="1002" spans="2:7" ht="12.75">
      <c r="B1002" s="2"/>
      <c r="C1002" s="15" t="s">
        <v>22</v>
      </c>
      <c r="D1002" s="9">
        <f>E1002*D990*12/1000</f>
        <v>245.615568</v>
      </c>
      <c r="E1002" s="13">
        <v>5.24</v>
      </c>
      <c r="F1002" s="8">
        <f>175.15+53.4+7.66+23.6+3.18+5.6+2.68+0.57+7.28+0.4+2.74</f>
        <v>282.26</v>
      </c>
      <c r="G1002" s="13">
        <f>F1002/3906.1/12*1000</f>
        <v>6.0217779029381395</v>
      </c>
    </row>
    <row r="1003" spans="2:7" ht="12.75">
      <c r="B1003" s="2"/>
      <c r="C1003" s="15" t="s">
        <v>23</v>
      </c>
      <c r="D1003" s="9">
        <f>E1003*D990*12/1000</f>
        <v>43.592076</v>
      </c>
      <c r="E1003" s="13">
        <v>0.93</v>
      </c>
      <c r="F1003" s="9">
        <v>6.36</v>
      </c>
      <c r="G1003" s="13">
        <f>F1003/3906.1/12*1000</f>
        <v>0.135685210312076</v>
      </c>
    </row>
    <row r="1004" spans="2:7" ht="12.75">
      <c r="B1004" s="2"/>
      <c r="C1004" s="20" t="s">
        <v>24</v>
      </c>
      <c r="D1004" s="9">
        <v>3.75</v>
      </c>
      <c r="E1004" s="13">
        <f>D1004/3906.1/12*1000</f>
        <v>0.08000307211796934</v>
      </c>
      <c r="F1004" s="9">
        <v>0.5</v>
      </c>
      <c r="G1004" s="13">
        <f>F1004/3906.1/12*1000</f>
        <v>0.010667076282395912</v>
      </c>
    </row>
    <row r="1005" spans="2:7" ht="12.75">
      <c r="B1005" s="11" t="s">
        <v>25</v>
      </c>
      <c r="C1005" s="11"/>
      <c r="D1005" s="13">
        <f>E1005*D990*12/1000</f>
        <v>27.655187999999995</v>
      </c>
      <c r="E1005" s="13">
        <v>0.59</v>
      </c>
      <c r="F1005" s="13">
        <v>26.4</v>
      </c>
      <c r="G1005" s="13">
        <f>F1005/3906.1/12*1000</f>
        <v>0.5632216277105041</v>
      </c>
    </row>
    <row r="1006" spans="2:7" ht="12.75">
      <c r="B1006" s="21" t="s">
        <v>26</v>
      </c>
      <c r="C1006" s="21"/>
      <c r="D1006" s="13">
        <f>E1006*D990*12/1000</f>
        <v>144.83818799999997</v>
      </c>
      <c r="E1006" s="13">
        <v>3.09</v>
      </c>
      <c r="F1006" s="1">
        <f>26.25+120.46</f>
        <v>146.70999999999998</v>
      </c>
      <c r="G1006" s="13">
        <f>F1006/3906.1/12*1000</f>
        <v>3.129933522780608</v>
      </c>
    </row>
    <row r="1007" spans="2:7" ht="12.75">
      <c r="B1007" s="21"/>
      <c r="C1007" s="22" t="s">
        <v>27</v>
      </c>
      <c r="D1007" s="13">
        <v>0</v>
      </c>
      <c r="E1007" s="13">
        <v>0</v>
      </c>
      <c r="F1007" s="1">
        <v>21.56</v>
      </c>
      <c r="G1007" s="13">
        <f>F1007/3906.1/12*1000</f>
        <v>0.4599643292969116</v>
      </c>
    </row>
    <row r="1008" spans="2:7" ht="12.75">
      <c r="B1008" s="2"/>
      <c r="C1008" s="10" t="s">
        <v>28</v>
      </c>
      <c r="D1008" s="12">
        <f>D996+D997+D1001+D1005+D1006</f>
        <v>855.4773919999999</v>
      </c>
      <c r="E1008" s="12">
        <f>E996+E997+E1001+E1005+E1006</f>
        <v>18.25088519665822</v>
      </c>
      <c r="F1008" s="12">
        <f>F996+F997+F1001+F1005+F1006+F1007</f>
        <v>868.26</v>
      </c>
      <c r="G1008" s="13">
        <f>G996+G997+G1001+G1005+G1006+G1007+G1007</f>
        <v>18.983555635203064</v>
      </c>
    </row>
    <row r="1009" spans="2:7" ht="12.75">
      <c r="B1009" s="2">
        <v>4</v>
      </c>
      <c r="C1009" s="10" t="s">
        <v>29</v>
      </c>
      <c r="D1009" s="13">
        <v>85.5</v>
      </c>
      <c r="E1009" s="12">
        <v>1.8</v>
      </c>
      <c r="F1009" s="12"/>
      <c r="G1009" s="12"/>
    </row>
    <row r="1010" spans="2:7" ht="12.75">
      <c r="B1010" s="5">
        <v>5</v>
      </c>
      <c r="C1010" s="10" t="s">
        <v>13</v>
      </c>
      <c r="D1010" s="13">
        <f>D1008+D1009</f>
        <v>940.9773919999999</v>
      </c>
      <c r="E1010" s="13">
        <f>E1008+E1009</f>
        <v>20.05088519665822</v>
      </c>
      <c r="F1010" s="13">
        <f>F1008-F993/1000</f>
        <v>-14.05126000000007</v>
      </c>
      <c r="G1010" s="13"/>
    </row>
    <row r="1011" spans="2:7" ht="12.75">
      <c r="B1011" s="23"/>
      <c r="C1011" s="23"/>
      <c r="D1011" s="25"/>
      <c r="E1011" s="25"/>
      <c r="F1011" s="23"/>
      <c r="G1011" s="23"/>
    </row>
    <row r="1012" spans="2:7" ht="12.75">
      <c r="B1012" s="11" t="s">
        <v>30</v>
      </c>
      <c r="C1012" s="11"/>
      <c r="D1012" s="33" t="s">
        <v>6</v>
      </c>
      <c r="E1012" s="25"/>
      <c r="F1012" s="25"/>
      <c r="G1012" s="25"/>
    </row>
    <row r="1013" spans="2:7" ht="12.75">
      <c r="B1013" s="25"/>
      <c r="C1013" s="34" t="s">
        <v>31</v>
      </c>
      <c r="D1013" s="35">
        <v>38632.29</v>
      </c>
      <c r="E1013" s="25"/>
      <c r="F1013" s="25"/>
      <c r="G1013" s="25"/>
    </row>
    <row r="1014" spans="2:7" ht="12.75">
      <c r="B1014" s="5"/>
      <c r="C1014" s="23" t="s">
        <v>32</v>
      </c>
      <c r="D1014" s="35">
        <v>33772.1</v>
      </c>
      <c r="E1014" s="25"/>
      <c r="F1014" s="25"/>
      <c r="G1014" s="25"/>
    </row>
    <row r="1015" spans="2:7" ht="12.75">
      <c r="B1015" s="5"/>
      <c r="C1015" s="36" t="s">
        <v>13</v>
      </c>
      <c r="D1015" s="33">
        <f>D1014-D1013</f>
        <v>-4860.190000000002</v>
      </c>
      <c r="E1015" s="25"/>
      <c r="F1015" s="25"/>
      <c r="G1015" s="25"/>
    </row>
    <row r="1016" spans="2:7" ht="12.75">
      <c r="B1016" s="5"/>
      <c r="C1016" s="34" t="s">
        <v>33</v>
      </c>
      <c r="D1016" s="35">
        <v>42733.21</v>
      </c>
      <c r="E1016" s="25"/>
      <c r="F1016" s="25"/>
      <c r="G1016" s="25"/>
    </row>
    <row r="1017" spans="2:7" ht="12.75">
      <c r="B1017" s="5"/>
      <c r="C1017" s="23" t="s">
        <v>34</v>
      </c>
      <c r="D1017" s="35">
        <v>37315.53</v>
      </c>
      <c r="E1017" s="25"/>
      <c r="F1017" s="25"/>
      <c r="G1017" s="25"/>
    </row>
    <row r="1018" spans="2:7" ht="12.75">
      <c r="B1018" s="5"/>
      <c r="C1018" s="36" t="s">
        <v>13</v>
      </c>
      <c r="D1018" s="33">
        <f>D1017-D1016</f>
        <v>-5417.68</v>
      </c>
      <c r="E1018" s="25"/>
      <c r="F1018" s="25"/>
      <c r="G1018" s="25"/>
    </row>
    <row r="1019" spans="2:7" ht="12.75">
      <c r="B1019" s="5"/>
      <c r="C1019" s="34" t="s">
        <v>42</v>
      </c>
      <c r="D1019" s="35">
        <v>16249.75</v>
      </c>
      <c r="E1019" s="25"/>
      <c r="F1019" s="25"/>
      <c r="G1019" s="25"/>
    </row>
    <row r="1020" spans="2:7" ht="12.75">
      <c r="B1020" s="5"/>
      <c r="C1020" s="23" t="s">
        <v>43</v>
      </c>
      <c r="D1020" s="35">
        <v>12181.91</v>
      </c>
      <c r="E1020" s="25"/>
      <c r="F1020" s="25"/>
      <c r="G1020" s="25"/>
    </row>
    <row r="1021" spans="2:7" ht="12.75">
      <c r="B1021" s="5"/>
      <c r="C1021" s="36" t="s">
        <v>13</v>
      </c>
      <c r="D1021" s="33">
        <f>D1020-D1019</f>
        <v>-4067.84</v>
      </c>
      <c r="E1021" s="25"/>
      <c r="F1021" s="25"/>
      <c r="G1021" s="25"/>
    </row>
    <row r="1022" spans="2:7" ht="12.75">
      <c r="B1022" s="11"/>
      <c r="C1022" s="11" t="s">
        <v>35</v>
      </c>
      <c r="D1022" s="27">
        <f>D1015+D1018+D1021</f>
        <v>-14345.710000000003</v>
      </c>
      <c r="E1022" s="25"/>
      <c r="F1022" s="25"/>
      <c r="G1022" s="25"/>
    </row>
    <row r="1023" spans="2:7" ht="12.75">
      <c r="B1023" s="11"/>
      <c r="C1023" s="11"/>
      <c r="D1023" s="27"/>
      <c r="E1023" s="25"/>
      <c r="F1023" s="25"/>
      <c r="G1023" s="25"/>
    </row>
    <row r="1024" spans="2:7" ht="12.75">
      <c r="B1024" s="11"/>
      <c r="C1024" s="14" t="s">
        <v>44</v>
      </c>
      <c r="D1024" s="27" t="s">
        <v>37</v>
      </c>
      <c r="E1024" s="25"/>
      <c r="F1024" s="47">
        <v>0.30000000000000004</v>
      </c>
      <c r="G1024" s="25"/>
    </row>
    <row r="1025" spans="2:7" ht="12.75">
      <c r="B1025" s="11"/>
      <c r="C1025" s="14" t="s">
        <v>45</v>
      </c>
      <c r="D1025" s="27"/>
      <c r="E1025" s="25"/>
      <c r="F1025" s="47">
        <v>-98.4</v>
      </c>
      <c r="G1025" s="25"/>
    </row>
    <row r="1026" spans="2:7" ht="12.75">
      <c r="B1026" s="23" t="s">
        <v>39</v>
      </c>
      <c r="C1026" s="23"/>
      <c r="D1026" s="23"/>
      <c r="E1026" s="23"/>
      <c r="F1026" s="23"/>
      <c r="G1026" s="23"/>
    </row>
    <row r="1028" spans="2:7" ht="12.75">
      <c r="B1028" s="1" t="s">
        <v>0</v>
      </c>
      <c r="C1028" s="1"/>
      <c r="D1028" s="1"/>
      <c r="E1028" s="1"/>
      <c r="F1028" s="1"/>
      <c r="G1028" s="1"/>
    </row>
    <row r="1029" spans="2:7" ht="12.75">
      <c r="B1029" s="1" t="s">
        <v>46</v>
      </c>
      <c r="C1029" s="1"/>
      <c r="D1029" s="1"/>
      <c r="E1029" s="1"/>
      <c r="F1029" s="1"/>
      <c r="G1029" s="1"/>
    </row>
    <row r="1030" spans="2:7" ht="12.75">
      <c r="B1030" s="1" t="s">
        <v>94</v>
      </c>
      <c r="C1030" s="1"/>
      <c r="D1030" s="1"/>
      <c r="E1030" s="1"/>
      <c r="F1030" s="1"/>
      <c r="G1030" s="1"/>
    </row>
    <row r="1031" spans="2:7" ht="12.75" customHeight="1">
      <c r="B1031" s="2"/>
      <c r="C1031" s="2" t="s">
        <v>3</v>
      </c>
      <c r="D1031" s="3" t="s">
        <v>41</v>
      </c>
      <c r="E1031" s="3"/>
      <c r="F1031" s="4" t="s">
        <v>5</v>
      </c>
      <c r="G1031" s="4"/>
    </row>
    <row r="1032" spans="2:7" ht="12.75">
      <c r="B1032" s="2"/>
      <c r="C1032" s="2"/>
      <c r="D1032" s="3" t="s">
        <v>6</v>
      </c>
      <c r="E1032" s="3" t="s">
        <v>7</v>
      </c>
      <c r="F1032" s="3" t="s">
        <v>6</v>
      </c>
      <c r="G1032" s="3" t="s">
        <v>8</v>
      </c>
    </row>
    <row r="1033" spans="2:7" ht="12.75">
      <c r="B1033" s="5">
        <v>1</v>
      </c>
      <c r="C1033" s="6" t="s">
        <v>9</v>
      </c>
      <c r="D1033" s="1">
        <v>1395.7</v>
      </c>
      <c r="E1033" s="1"/>
      <c r="F1033" s="1">
        <v>1395.7</v>
      </c>
      <c r="G1033" s="1"/>
    </row>
    <row r="1034" spans="2:7" ht="12.75">
      <c r="B1034" s="5">
        <v>2</v>
      </c>
      <c r="C1034" s="7" t="s">
        <v>95</v>
      </c>
      <c r="D1034" s="8"/>
      <c r="E1034" s="8"/>
      <c r="F1034" s="8" t="s">
        <v>3</v>
      </c>
      <c r="G1034" s="8"/>
    </row>
    <row r="1035" spans="2:7" ht="12.75">
      <c r="B1035" s="5"/>
      <c r="C1035" s="20" t="s">
        <v>56</v>
      </c>
      <c r="D1035" s="9"/>
      <c r="E1035" s="9"/>
      <c r="F1035" s="9">
        <v>333179.88</v>
      </c>
      <c r="G1035" s="9"/>
    </row>
    <row r="1036" spans="2:7" ht="12.75">
      <c r="B1036" s="5"/>
      <c r="C1036" s="34" t="s">
        <v>96</v>
      </c>
      <c r="D1036" s="9"/>
      <c r="E1036" s="9"/>
      <c r="F1036" s="9">
        <v>321774.7</v>
      </c>
      <c r="G1036" s="9"/>
    </row>
    <row r="1037" spans="2:7" ht="12.75">
      <c r="B1037" s="5"/>
      <c r="C1037" s="2" t="s">
        <v>13</v>
      </c>
      <c r="D1037" s="9"/>
      <c r="E1037" s="9"/>
      <c r="F1037" s="9">
        <f>F1036-F1035</f>
        <v>-11405.179999999993</v>
      </c>
      <c r="G1037" s="9"/>
    </row>
    <row r="1038" spans="2:7" ht="12.75">
      <c r="B1038" s="5">
        <v>3</v>
      </c>
      <c r="C1038" s="10" t="s">
        <v>14</v>
      </c>
      <c r="D1038" s="1" t="s">
        <v>15</v>
      </c>
      <c r="E1038" s="1"/>
      <c r="F1038" s="1" t="s">
        <v>15</v>
      </c>
      <c r="G1038" s="1"/>
    </row>
    <row r="1039" spans="2:7" ht="12.75">
      <c r="B1039" s="11" t="s">
        <v>16</v>
      </c>
      <c r="C1039" s="11"/>
      <c r="D1039" s="13">
        <f>E1039*D1033*12/1000</f>
        <v>45.388164</v>
      </c>
      <c r="E1039" s="13">
        <v>2.71</v>
      </c>
      <c r="F1039" s="13">
        <v>45</v>
      </c>
      <c r="G1039" s="13">
        <f>F1039/1395.7/12*1000</f>
        <v>2.686823816006305</v>
      </c>
    </row>
    <row r="1040" spans="2:7" ht="12.75" customHeight="1">
      <c r="B1040" s="14" t="s">
        <v>17</v>
      </c>
      <c r="C1040" s="14"/>
      <c r="D1040" s="1">
        <f>D1041+D1042+D1043</f>
        <v>94</v>
      </c>
      <c r="E1040" s="13">
        <f>D1040/1395.7/12*1000</f>
        <v>5.612476415657615</v>
      </c>
      <c r="F1040" s="1">
        <f>F1041+F1042+F1043</f>
        <v>188.52</v>
      </c>
      <c r="G1040" s="13">
        <f>F1040/1395.7/12*1000</f>
        <v>11.256000573189082</v>
      </c>
    </row>
    <row r="1041" spans="2:7" ht="12.75">
      <c r="B1041" s="2"/>
      <c r="C1041" s="15" t="s">
        <v>18</v>
      </c>
      <c r="D1041" s="9">
        <v>73</v>
      </c>
      <c r="E1041" s="13">
        <v>4.2</v>
      </c>
      <c r="F1041" s="9">
        <f>26.8+4.28+44.84</f>
        <v>75.92</v>
      </c>
      <c r="G1041" s="13">
        <f>F1041/1395.7/12*1000</f>
        <v>4.532970313582193</v>
      </c>
    </row>
    <row r="1042" spans="2:7" ht="12.75">
      <c r="B1042" s="2"/>
      <c r="C1042" s="15" t="s">
        <v>19</v>
      </c>
      <c r="D1042" s="17">
        <v>21</v>
      </c>
      <c r="E1042" s="13">
        <v>1.4</v>
      </c>
      <c r="F1042" s="45">
        <v>100</v>
      </c>
      <c r="G1042" s="13">
        <f>F1042/1395.7/12*1000</f>
        <v>5.970719591125123</v>
      </c>
    </row>
    <row r="1043" spans="2:7" ht="12.75">
      <c r="B1043" s="32" t="s">
        <v>20</v>
      </c>
      <c r="C1043" s="32"/>
      <c r="D1043" s="18">
        <v>0</v>
      </c>
      <c r="E1043" s="13">
        <f>D1043/1395.7/12*1000</f>
        <v>0</v>
      </c>
      <c r="F1043" s="18">
        <v>12.6</v>
      </c>
      <c r="G1043" s="13">
        <f>F1043/1395.7/12*1000</f>
        <v>0.7523106684817654</v>
      </c>
    </row>
    <row r="1044" spans="2:7" ht="12.75" customHeight="1">
      <c r="B1044" s="19" t="s">
        <v>21</v>
      </c>
      <c r="C1044" s="19"/>
      <c r="D1044" s="13">
        <f>D1045+D1047+D1046</f>
        <v>104.67762800000001</v>
      </c>
      <c r="E1044" s="13">
        <f>D1044/1395.7/12*1000</f>
        <v>6.250007642521077</v>
      </c>
      <c r="F1044" s="13">
        <f>F1045+F1047+F1046</f>
        <v>116.51</v>
      </c>
      <c r="G1044" s="13">
        <f>F1044/1395.7/12*1000</f>
        <v>6.95648539561988</v>
      </c>
    </row>
    <row r="1045" spans="2:7" ht="12.75">
      <c r="B1045" s="2"/>
      <c r="C1045" s="15" t="s">
        <v>22</v>
      </c>
      <c r="D1045" s="9">
        <f>E1045*D1033*12/1000</f>
        <v>87.761616</v>
      </c>
      <c r="E1045" s="13">
        <v>5.24</v>
      </c>
      <c r="F1045" s="8">
        <f>62.58+19.09+2.73+8.4+1.1+4.2+6.6+6.38+0.14+0.98</f>
        <v>112.2</v>
      </c>
      <c r="G1045" s="13">
        <f>F1045/1395.7/12*1000</f>
        <v>6.699147381242387</v>
      </c>
    </row>
    <row r="1046" spans="2:7" ht="12.75">
      <c r="B1046" s="2"/>
      <c r="C1046" s="15" t="s">
        <v>23</v>
      </c>
      <c r="D1046" s="9">
        <f>E1046*D1033*12/1000</f>
        <v>15.576012000000002</v>
      </c>
      <c r="E1046" s="13">
        <v>0.93</v>
      </c>
      <c r="F1046" s="9">
        <v>4.06</v>
      </c>
      <c r="G1046" s="13">
        <f>F1046/1395.7/12*1000</f>
        <v>0.24241121539967994</v>
      </c>
    </row>
    <row r="1047" spans="2:7" ht="12.75">
      <c r="B1047" s="2"/>
      <c r="C1047" s="20" t="s">
        <v>24</v>
      </c>
      <c r="D1047" s="9">
        <v>1.34</v>
      </c>
      <c r="E1047" s="13">
        <f>D1047/1395.7/12*1000</f>
        <v>0.08000764252107663</v>
      </c>
      <c r="F1047" s="9">
        <v>0.25</v>
      </c>
      <c r="G1047" s="13">
        <f>F1047/1395.7/12*1000</f>
        <v>0.014926798977812804</v>
      </c>
    </row>
    <row r="1048" spans="2:7" ht="12.75">
      <c r="B1048" s="11" t="s">
        <v>25</v>
      </c>
      <c r="C1048" s="11"/>
      <c r="D1048" s="13">
        <f>E1048*D1033*12/1000</f>
        <v>9.881556</v>
      </c>
      <c r="E1048" s="13">
        <v>0.59</v>
      </c>
      <c r="F1048" s="13">
        <v>9.6</v>
      </c>
      <c r="G1048" s="13">
        <f>F1048/1395.7/12*1000</f>
        <v>0.5731890807480117</v>
      </c>
    </row>
    <row r="1049" spans="2:7" ht="12.75">
      <c r="B1049" s="21" t="s">
        <v>26</v>
      </c>
      <c r="C1049" s="21"/>
      <c r="D1049" s="13">
        <f>E1049*D1033*12/1000</f>
        <v>51.752556</v>
      </c>
      <c r="E1049" s="13">
        <v>3.09</v>
      </c>
      <c r="F1049" s="1">
        <f>9.38+43.04</f>
        <v>52.42</v>
      </c>
      <c r="G1049" s="13">
        <f>F1049/1395.7/12*1000</f>
        <v>3.1298512096677893</v>
      </c>
    </row>
    <row r="1050" spans="2:7" ht="12.75">
      <c r="B1050" s="2"/>
      <c r="C1050" s="10" t="s">
        <v>28</v>
      </c>
      <c r="D1050" s="12">
        <f>D1039+D1040+D1044+D1048+D1049</f>
        <v>305.69990400000006</v>
      </c>
      <c r="E1050" s="12">
        <f>E1039+E1040+E1044+E1048+E1049</f>
        <v>18.25248405817869</v>
      </c>
      <c r="F1050" s="12">
        <f>F1039+F1040+F1044+F1048+F1049</f>
        <v>412.05000000000007</v>
      </c>
      <c r="G1050" s="13">
        <f>G1039+G1040+G1044+G1048+G1049</f>
        <v>24.602350075231065</v>
      </c>
    </row>
    <row r="1051" spans="2:7" ht="12.75">
      <c r="B1051" s="2">
        <v>4</v>
      </c>
      <c r="C1051" s="10" t="s">
        <v>29</v>
      </c>
      <c r="D1051" s="13">
        <v>30.55</v>
      </c>
      <c r="E1051" s="12">
        <v>1.8</v>
      </c>
      <c r="F1051" s="12"/>
      <c r="G1051" s="12"/>
    </row>
    <row r="1052" spans="2:7" ht="12.75">
      <c r="B1052" s="5">
        <v>5</v>
      </c>
      <c r="C1052" s="10" t="s">
        <v>13</v>
      </c>
      <c r="D1052" s="13">
        <f>D1050+D1051</f>
        <v>336.2499040000001</v>
      </c>
      <c r="E1052" s="13">
        <f>E1050+E1051</f>
        <v>20.052484058178692</v>
      </c>
      <c r="F1052" s="13">
        <f>F1050-F1036/1000</f>
        <v>90.27530000000007</v>
      </c>
      <c r="G1052" s="13"/>
    </row>
    <row r="1053" spans="2:7" ht="12.75">
      <c r="B1053" s="23"/>
      <c r="C1053" s="23"/>
      <c r="D1053" s="25"/>
      <c r="E1053" s="25"/>
      <c r="F1053" s="23"/>
      <c r="G1053" s="23"/>
    </row>
    <row r="1054" spans="2:7" ht="12.75">
      <c r="B1054" s="11" t="s">
        <v>30</v>
      </c>
      <c r="C1054" s="11"/>
      <c r="D1054" s="33" t="s">
        <v>6</v>
      </c>
      <c r="E1054" s="25"/>
      <c r="F1054" s="25"/>
      <c r="G1054" s="25"/>
    </row>
    <row r="1055" spans="2:7" ht="12.75">
      <c r="B1055" s="25"/>
      <c r="C1055" s="34" t="s">
        <v>31</v>
      </c>
      <c r="D1055" s="35">
        <v>26378.77</v>
      </c>
      <c r="E1055" s="25"/>
      <c r="F1055" s="25"/>
      <c r="G1055" s="25"/>
    </row>
    <row r="1056" spans="2:7" ht="12.75">
      <c r="B1056" s="5"/>
      <c r="C1056" s="23" t="s">
        <v>32</v>
      </c>
      <c r="D1056" s="35">
        <v>22406.94</v>
      </c>
      <c r="E1056" s="25"/>
      <c r="F1056" s="25"/>
      <c r="G1056" s="25"/>
    </row>
    <row r="1057" spans="2:7" ht="12.75">
      <c r="B1057" s="5"/>
      <c r="C1057" s="36" t="s">
        <v>13</v>
      </c>
      <c r="D1057" s="33">
        <f>D1056-D1055</f>
        <v>-3971.8300000000017</v>
      </c>
      <c r="E1057" s="25"/>
      <c r="F1057" s="25"/>
      <c r="G1057" s="25"/>
    </row>
    <row r="1058" spans="2:7" ht="12.75">
      <c r="B1058" s="5"/>
      <c r="C1058" s="34" t="s">
        <v>33</v>
      </c>
      <c r="D1058" s="35">
        <v>29226.15</v>
      </c>
      <c r="E1058" s="25"/>
      <c r="F1058" s="25"/>
      <c r="G1058" s="25"/>
    </row>
    <row r="1059" spans="2:7" ht="12.75">
      <c r="B1059" s="5"/>
      <c r="C1059" s="23" t="s">
        <v>34</v>
      </c>
      <c r="D1059" s="35">
        <v>23893.39</v>
      </c>
      <c r="E1059" s="25"/>
      <c r="F1059" s="25"/>
      <c r="G1059" s="25"/>
    </row>
    <row r="1060" spans="2:7" ht="12.75">
      <c r="B1060" s="5"/>
      <c r="C1060" s="36" t="s">
        <v>13</v>
      </c>
      <c r="D1060" s="33">
        <f>D1059-D1058</f>
        <v>-5332.760000000002</v>
      </c>
      <c r="E1060" s="25"/>
      <c r="F1060" s="25"/>
      <c r="G1060" s="25"/>
    </row>
    <row r="1061" spans="2:7" ht="12.75">
      <c r="B1061" s="5"/>
      <c r="C1061" s="34" t="s">
        <v>42</v>
      </c>
      <c r="D1061" s="35">
        <v>6545.89</v>
      </c>
      <c r="E1061" s="25"/>
      <c r="F1061" s="25"/>
      <c r="G1061" s="25"/>
    </row>
    <row r="1062" spans="2:7" ht="12.75">
      <c r="B1062" s="5"/>
      <c r="C1062" s="23" t="s">
        <v>43</v>
      </c>
      <c r="D1062" s="35">
        <v>5157.37</v>
      </c>
      <c r="E1062" s="25"/>
      <c r="F1062" s="25"/>
      <c r="G1062" s="25"/>
    </row>
    <row r="1063" spans="2:7" ht="12.75">
      <c r="B1063" s="5"/>
      <c r="C1063" s="36" t="s">
        <v>13</v>
      </c>
      <c r="D1063" s="33">
        <f>D1062-D1061</f>
        <v>-1388.5200000000004</v>
      </c>
      <c r="E1063" s="25"/>
      <c r="F1063" s="25"/>
      <c r="G1063" s="25"/>
    </row>
    <row r="1064" spans="2:7" ht="12.75">
      <c r="B1064" s="11"/>
      <c r="C1064" s="11" t="s">
        <v>35</v>
      </c>
      <c r="D1064" s="27">
        <f>D1057+D1060+D1063</f>
        <v>-10693.110000000004</v>
      </c>
      <c r="E1064" s="25"/>
      <c r="F1064" s="25"/>
      <c r="G1064" s="25"/>
    </row>
    <row r="1065" spans="2:7" ht="12.75">
      <c r="B1065" s="11"/>
      <c r="C1065" s="11"/>
      <c r="D1065" s="27"/>
      <c r="E1065" s="25"/>
      <c r="F1065" s="25"/>
      <c r="G1065" s="25"/>
    </row>
    <row r="1066" spans="2:7" ht="12.75">
      <c r="B1066" s="11"/>
      <c r="C1066" s="14" t="s">
        <v>58</v>
      </c>
      <c r="D1066" s="27" t="s">
        <v>37</v>
      </c>
      <c r="E1066" s="25"/>
      <c r="F1066" s="24">
        <v>100.98</v>
      </c>
      <c r="G1066" s="25"/>
    </row>
    <row r="1067" spans="2:7" ht="12.75">
      <c r="B1067" s="11"/>
      <c r="C1067" s="14" t="s">
        <v>45</v>
      </c>
      <c r="D1067" s="27"/>
      <c r="E1067" s="25"/>
      <c r="F1067" s="24">
        <v>-93.4</v>
      </c>
      <c r="G1067" s="25"/>
    </row>
    <row r="1068" spans="2:7" ht="12.75">
      <c r="B1068" s="23" t="s">
        <v>39</v>
      </c>
      <c r="C1068" s="23"/>
      <c r="D1068" s="23"/>
      <c r="E1068" s="23"/>
      <c r="F1068" s="23"/>
      <c r="G1068" s="23"/>
    </row>
    <row r="1070" spans="2:7" ht="12.75">
      <c r="B1070" s="1" t="s">
        <v>0</v>
      </c>
      <c r="C1070" s="1"/>
      <c r="D1070" s="1"/>
      <c r="E1070" s="1"/>
      <c r="F1070" s="1"/>
      <c r="G1070" s="1"/>
    </row>
    <row r="1071" spans="2:7" ht="12.75">
      <c r="B1071" s="1" t="s">
        <v>51</v>
      </c>
      <c r="C1071" s="1"/>
      <c r="D1071" s="1"/>
      <c r="E1071" s="1"/>
      <c r="F1071" s="1"/>
      <c r="G1071" s="1"/>
    </row>
    <row r="1072" spans="2:7" ht="12.75">
      <c r="B1072" s="1" t="s">
        <v>97</v>
      </c>
      <c r="C1072" s="1"/>
      <c r="D1072" s="1"/>
      <c r="E1072" s="1"/>
      <c r="F1072" s="1"/>
      <c r="G1072" s="1"/>
    </row>
    <row r="1073" spans="2:7" ht="12.75" customHeight="1">
      <c r="B1073" s="2"/>
      <c r="C1073" s="2" t="s">
        <v>3</v>
      </c>
      <c r="D1073" s="3" t="s">
        <v>41</v>
      </c>
      <c r="E1073" s="3"/>
      <c r="F1073" s="4" t="s">
        <v>5</v>
      </c>
      <c r="G1073" s="4"/>
    </row>
    <row r="1074" spans="2:7" ht="12.75">
      <c r="B1074" s="2"/>
      <c r="C1074" s="2"/>
      <c r="D1074" s="3" t="s">
        <v>6</v>
      </c>
      <c r="E1074" s="3" t="s">
        <v>7</v>
      </c>
      <c r="F1074" s="3" t="s">
        <v>6</v>
      </c>
      <c r="G1074" s="3" t="s">
        <v>8</v>
      </c>
    </row>
    <row r="1075" spans="2:7" ht="12.75">
      <c r="B1075" s="5">
        <v>1</v>
      </c>
      <c r="C1075" s="6" t="s">
        <v>9</v>
      </c>
      <c r="D1075" s="1">
        <v>1358.3</v>
      </c>
      <c r="E1075" s="1"/>
      <c r="F1075" s="1">
        <v>1358.3</v>
      </c>
      <c r="G1075" s="1"/>
    </row>
    <row r="1076" spans="2:7" ht="12.75">
      <c r="B1076" s="5">
        <v>2</v>
      </c>
      <c r="C1076" s="7" t="s">
        <v>55</v>
      </c>
      <c r="D1076" s="8"/>
      <c r="E1076" s="8"/>
      <c r="F1076" s="8" t="s">
        <v>3</v>
      </c>
      <c r="G1076" s="8"/>
    </row>
    <row r="1077" spans="2:7" ht="12.75">
      <c r="B1077" s="5"/>
      <c r="C1077" s="20" t="s">
        <v>56</v>
      </c>
      <c r="D1077" s="9"/>
      <c r="E1077" s="9"/>
      <c r="F1077" s="9">
        <v>325247.06</v>
      </c>
      <c r="G1077" s="9"/>
    </row>
    <row r="1078" spans="2:7" ht="12.75">
      <c r="B1078" s="5"/>
      <c r="C1078" s="34" t="s">
        <v>57</v>
      </c>
      <c r="D1078" s="9"/>
      <c r="E1078" s="9"/>
      <c r="F1078" s="9">
        <v>305587.71</v>
      </c>
      <c r="G1078" s="9"/>
    </row>
    <row r="1079" spans="2:7" ht="12.75">
      <c r="B1079" s="5"/>
      <c r="C1079" s="2" t="s">
        <v>13</v>
      </c>
      <c r="D1079" s="9"/>
      <c r="E1079" s="9"/>
      <c r="F1079" s="9">
        <f>F1078-F1077</f>
        <v>-19659.349999999977</v>
      </c>
      <c r="G1079" s="9"/>
    </row>
    <row r="1080" spans="2:7" ht="12.75">
      <c r="B1080" s="5">
        <v>3</v>
      </c>
      <c r="C1080" s="10" t="s">
        <v>14</v>
      </c>
      <c r="D1080" s="1" t="s">
        <v>15</v>
      </c>
      <c r="E1080" s="1"/>
      <c r="F1080" s="1" t="s">
        <v>15</v>
      </c>
      <c r="G1080" s="1"/>
    </row>
    <row r="1081" spans="2:7" ht="12.75">
      <c r="B1081" s="11" t="s">
        <v>16</v>
      </c>
      <c r="C1081" s="11"/>
      <c r="D1081" s="13">
        <f>E1081*D1075*12/1000</f>
        <v>44.171915999999996</v>
      </c>
      <c r="E1081" s="13">
        <v>2.71</v>
      </c>
      <c r="F1081" s="13">
        <v>44</v>
      </c>
      <c r="G1081" s="13">
        <f>F1081/1358.3/12*1000</f>
        <v>2.6994527473066827</v>
      </c>
    </row>
    <row r="1082" spans="2:7" ht="12.75" customHeight="1">
      <c r="B1082" s="14" t="s">
        <v>17</v>
      </c>
      <c r="C1082" s="14"/>
      <c r="D1082" s="1">
        <f>D1083+D1084+D1085</f>
        <v>91.3</v>
      </c>
      <c r="E1082" s="13">
        <f>D1082/1358.3/12*1000</f>
        <v>5.601364450661366</v>
      </c>
      <c r="F1082" s="1">
        <f>F1083+F1084+F1085</f>
        <v>148.21</v>
      </c>
      <c r="G1082" s="13">
        <f>F1082/1358.3/12*1000</f>
        <v>9.09286117450735</v>
      </c>
    </row>
    <row r="1083" spans="2:7" ht="12.75">
      <c r="B1083" s="2"/>
      <c r="C1083" s="15" t="s">
        <v>18</v>
      </c>
      <c r="D1083" s="9">
        <v>70.8</v>
      </c>
      <c r="E1083" s="13">
        <v>4.2</v>
      </c>
      <c r="F1083" s="9">
        <f>26.08+1.25+43.6</f>
        <v>70.93</v>
      </c>
      <c r="G1083" s="13">
        <f>F1083/1358.3/12*1000</f>
        <v>4.351640531055978</v>
      </c>
    </row>
    <row r="1084" spans="2:7" ht="12.75">
      <c r="B1084" s="2"/>
      <c r="C1084" s="15" t="s">
        <v>19</v>
      </c>
      <c r="D1084" s="17">
        <v>20.5</v>
      </c>
      <c r="E1084" s="13">
        <v>1.4</v>
      </c>
      <c r="F1084" s="45">
        <v>77.28</v>
      </c>
      <c r="G1084" s="13">
        <f>F1084/1358.3/12*1000</f>
        <v>4.741220643451374</v>
      </c>
    </row>
    <row r="1085" spans="2:7" ht="12.75">
      <c r="B1085" s="32" t="s">
        <v>20</v>
      </c>
      <c r="C1085" s="32"/>
      <c r="D1085" s="18">
        <v>0</v>
      </c>
      <c r="E1085" s="13">
        <f>D1085/1358.3/12*1000</f>
        <v>0</v>
      </c>
      <c r="F1085" s="18">
        <v>0</v>
      </c>
      <c r="G1085" s="13">
        <f>F1085/1358.3/12*1000</f>
        <v>0</v>
      </c>
    </row>
    <row r="1086" spans="2:7" ht="12.75" customHeight="1">
      <c r="B1086" s="19" t="s">
        <v>21</v>
      </c>
      <c r="C1086" s="19"/>
      <c r="D1086" s="13">
        <f>D1087+D1089+D1088</f>
        <v>101.86853200000002</v>
      </c>
      <c r="E1086" s="13">
        <f>D1086/1358.3/12*1000</f>
        <v>6.249756558443153</v>
      </c>
      <c r="F1086" s="13">
        <f>F1087+F1089+F1088</f>
        <v>115.65999999999997</v>
      </c>
      <c r="G1086" s="13">
        <f>F1086/1358.3/12*1000</f>
        <v>7.095879653488427</v>
      </c>
    </row>
    <row r="1087" spans="2:7" ht="12.75">
      <c r="B1087" s="2"/>
      <c r="C1087" s="15" t="s">
        <v>22</v>
      </c>
      <c r="D1087" s="9">
        <f>E1087*D1075*12/1000</f>
        <v>85.40990400000001</v>
      </c>
      <c r="E1087" s="13">
        <v>5.24</v>
      </c>
      <c r="F1087" s="8">
        <f>60.9+18.58+2.66+8.2+1.1+5.6+3.13+7.94+0.95+0.14</f>
        <v>109.19999999999997</v>
      </c>
      <c r="G1087" s="13">
        <f>F1087/1358.3/12*1000</f>
        <v>6.699550909224764</v>
      </c>
    </row>
    <row r="1088" spans="2:7" ht="12.75">
      <c r="B1088" s="2"/>
      <c r="C1088" s="15" t="s">
        <v>23</v>
      </c>
      <c r="D1088" s="9">
        <f>E1088*D1075*12/1000</f>
        <v>15.158628</v>
      </c>
      <c r="E1088" s="13">
        <v>0.93</v>
      </c>
      <c r="F1088" s="9">
        <v>5.83</v>
      </c>
      <c r="G1088" s="13">
        <f>F1088/1358.3/12*1000</f>
        <v>0.35767748901813545</v>
      </c>
    </row>
    <row r="1089" spans="2:7" ht="12.75">
      <c r="B1089" s="2"/>
      <c r="C1089" s="20" t="s">
        <v>24</v>
      </c>
      <c r="D1089" s="9">
        <v>1.3</v>
      </c>
      <c r="E1089" s="13">
        <f>D1089/1358.3/12*1000</f>
        <v>0.07975655844315198</v>
      </c>
      <c r="F1089" s="9">
        <v>0.63</v>
      </c>
      <c r="G1089" s="13">
        <f>F1089/1358.3/12*1000</f>
        <v>0.0386512552455275</v>
      </c>
    </row>
    <row r="1090" spans="2:7" ht="12.75">
      <c r="B1090" s="11" t="s">
        <v>25</v>
      </c>
      <c r="C1090" s="11"/>
      <c r="D1090" s="13">
        <f>E1090*D1075*12/1000</f>
        <v>9.616764</v>
      </c>
      <c r="E1090" s="13">
        <v>0.59</v>
      </c>
      <c r="F1090" s="13">
        <v>9.09</v>
      </c>
      <c r="G1090" s="13">
        <f>F1090/1358.3/12*1000</f>
        <v>0.5576823971140396</v>
      </c>
    </row>
    <row r="1091" spans="2:7" ht="12.75">
      <c r="B1091" s="21" t="s">
        <v>26</v>
      </c>
      <c r="C1091" s="21"/>
      <c r="D1091" s="13">
        <f>E1091*D1075*12/1000</f>
        <v>50.365764</v>
      </c>
      <c r="E1091" s="13">
        <v>3.09</v>
      </c>
      <c r="F1091" s="1">
        <f>9.13+41.9</f>
        <v>51.03</v>
      </c>
      <c r="G1091" s="13">
        <f>F1091/1358.3/12*1000</f>
        <v>3.130751674887727</v>
      </c>
    </row>
    <row r="1092" spans="2:7" ht="12.75">
      <c r="B1092" s="2"/>
      <c r="C1092" s="10" t="s">
        <v>28</v>
      </c>
      <c r="D1092" s="12">
        <f>D1081+D1082+D1086+D1090+D1091</f>
        <v>297.322976</v>
      </c>
      <c r="E1092" s="12">
        <f>E1081+E1082+E1086+E1090+E1091</f>
        <v>18.241121009104518</v>
      </c>
      <c r="F1092" s="12">
        <f>F1081+F1082+F1086+F1090+F1091</f>
        <v>367.99</v>
      </c>
      <c r="G1092" s="13">
        <f>G1081+G1082+G1086+G1090+G1091</f>
        <v>22.576627647304225</v>
      </c>
    </row>
    <row r="1093" spans="2:7" ht="12.75">
      <c r="B1093" s="2">
        <v>4</v>
      </c>
      <c r="C1093" s="10" t="s">
        <v>29</v>
      </c>
      <c r="D1093" s="13">
        <v>29.73</v>
      </c>
      <c r="E1093" s="12">
        <v>1.81</v>
      </c>
      <c r="F1093" s="12"/>
      <c r="G1093" s="12"/>
    </row>
    <row r="1094" spans="2:7" ht="12.75">
      <c r="B1094" s="5">
        <v>5</v>
      </c>
      <c r="C1094" s="10" t="s">
        <v>13</v>
      </c>
      <c r="D1094" s="13">
        <f>D1092+D1093</f>
        <v>327.052976</v>
      </c>
      <c r="E1094" s="13">
        <f>E1092+E1093</f>
        <v>20.051121009104516</v>
      </c>
      <c r="F1094" s="13">
        <f>F1092-F1078/1000</f>
        <v>62.402289999999994</v>
      </c>
      <c r="G1094" s="13"/>
    </row>
    <row r="1095" spans="2:7" ht="12.75">
      <c r="B1095" s="23"/>
      <c r="C1095" s="23"/>
      <c r="D1095" s="25"/>
      <c r="E1095" s="25"/>
      <c r="F1095" s="23"/>
      <c r="G1095" s="23"/>
    </row>
    <row r="1096" spans="2:7" ht="12.75">
      <c r="B1096" s="11" t="s">
        <v>30</v>
      </c>
      <c r="C1096" s="11"/>
      <c r="D1096" s="33" t="s">
        <v>6</v>
      </c>
      <c r="E1096" s="25"/>
      <c r="F1096" s="25"/>
      <c r="G1096" s="25"/>
    </row>
    <row r="1097" spans="2:7" ht="12.75">
      <c r="B1097" s="25"/>
      <c r="C1097" s="34" t="s">
        <v>31</v>
      </c>
      <c r="D1097" s="35">
        <v>3124.09</v>
      </c>
      <c r="E1097" s="25"/>
      <c r="F1097" s="25"/>
      <c r="G1097" s="25"/>
    </row>
    <row r="1098" spans="2:7" ht="12.75">
      <c r="B1098" s="5"/>
      <c r="C1098" s="23" t="s">
        <v>32</v>
      </c>
      <c r="D1098" s="35">
        <v>4075.99</v>
      </c>
      <c r="E1098" s="25"/>
      <c r="F1098" s="25"/>
      <c r="G1098" s="25"/>
    </row>
    <row r="1099" spans="2:7" ht="12.75">
      <c r="B1099" s="5"/>
      <c r="C1099" s="36" t="s">
        <v>13</v>
      </c>
      <c r="D1099" s="33">
        <f>D1098-D1097</f>
        <v>951.8999999999996</v>
      </c>
      <c r="E1099" s="25"/>
      <c r="F1099" s="25"/>
      <c r="G1099" s="25"/>
    </row>
    <row r="1100" spans="2:7" ht="12.75">
      <c r="B1100" s="5"/>
      <c r="C1100" s="34" t="s">
        <v>33</v>
      </c>
      <c r="D1100" s="35">
        <v>3463.65</v>
      </c>
      <c r="E1100" s="25"/>
      <c r="F1100" s="25"/>
      <c r="G1100" s="25"/>
    </row>
    <row r="1101" spans="2:7" ht="12.75">
      <c r="B1101" s="5"/>
      <c r="C1101" s="23" t="s">
        <v>34</v>
      </c>
      <c r="D1101" s="35">
        <v>4197.17</v>
      </c>
      <c r="E1101" s="25"/>
      <c r="F1101" s="25"/>
      <c r="G1101" s="25"/>
    </row>
    <row r="1102" spans="2:7" ht="12.75">
      <c r="B1102" s="5"/>
      <c r="C1102" s="36" t="s">
        <v>13</v>
      </c>
      <c r="D1102" s="33">
        <f>D1101-D1100</f>
        <v>733.52</v>
      </c>
      <c r="E1102" s="25"/>
      <c r="F1102" s="25"/>
      <c r="G1102" s="25"/>
    </row>
    <row r="1103" spans="2:7" ht="12.75">
      <c r="B1103" s="5"/>
      <c r="C1103" s="34" t="s">
        <v>42</v>
      </c>
      <c r="D1103" s="35">
        <v>10784.91</v>
      </c>
      <c r="E1103" s="25"/>
      <c r="F1103" s="25"/>
      <c r="G1103" s="25"/>
    </row>
    <row r="1104" spans="2:7" ht="12.75">
      <c r="B1104" s="5"/>
      <c r="C1104" s="23" t="s">
        <v>43</v>
      </c>
      <c r="D1104" s="35">
        <v>7642.93</v>
      </c>
      <c r="E1104" s="25"/>
      <c r="F1104" s="25"/>
      <c r="G1104" s="25"/>
    </row>
    <row r="1105" spans="2:7" ht="12.75">
      <c r="B1105" s="5"/>
      <c r="C1105" s="36" t="s">
        <v>13</v>
      </c>
      <c r="D1105" s="33">
        <f>D1104-D1103</f>
        <v>-3141.9799999999996</v>
      </c>
      <c r="E1105" s="25"/>
      <c r="F1105" s="25"/>
      <c r="G1105" s="25"/>
    </row>
    <row r="1106" spans="2:7" ht="12.75">
      <c r="B1106" s="11"/>
      <c r="C1106" s="11" t="s">
        <v>35</v>
      </c>
      <c r="D1106" s="27">
        <f>D1099+D1102+D1105</f>
        <v>-1456.56</v>
      </c>
      <c r="E1106" s="25"/>
      <c r="F1106" s="25"/>
      <c r="G1106" s="25"/>
    </row>
    <row r="1107" spans="2:7" ht="12.75">
      <c r="B1107" s="11"/>
      <c r="C1107" s="11"/>
      <c r="D1107" s="27"/>
      <c r="E1107" s="25"/>
      <c r="F1107" s="25"/>
      <c r="G1107" s="25"/>
    </row>
    <row r="1108" spans="2:7" ht="12.75">
      <c r="B1108" s="11"/>
      <c r="C1108" s="14" t="s">
        <v>44</v>
      </c>
      <c r="D1108" s="27" t="s">
        <v>37</v>
      </c>
      <c r="E1108" s="25"/>
      <c r="F1108" s="46">
        <v>63.86</v>
      </c>
      <c r="G1108" s="25"/>
    </row>
    <row r="1109" spans="2:7" ht="12.75">
      <c r="B1109" s="11"/>
      <c r="C1109" s="14" t="s">
        <v>38</v>
      </c>
      <c r="D1109" s="27"/>
      <c r="E1109" s="25"/>
      <c r="F1109" s="47">
        <v>94.75</v>
      </c>
      <c r="G1109" s="25"/>
    </row>
    <row r="1110" spans="2:7" ht="12.75">
      <c r="B1110" s="23" t="s">
        <v>39</v>
      </c>
      <c r="C1110" s="23"/>
      <c r="D1110" s="23"/>
      <c r="E1110" s="23"/>
      <c r="F1110" s="23"/>
      <c r="G1110" s="23"/>
    </row>
    <row r="1112" spans="2:7" ht="12.75">
      <c r="B1112" s="1" t="s">
        <v>0</v>
      </c>
      <c r="C1112" s="1"/>
      <c r="D1112" s="1"/>
      <c r="E1112" s="1"/>
      <c r="F1112" s="1"/>
      <c r="G1112" s="1"/>
    </row>
    <row r="1113" spans="2:7" ht="12.75">
      <c r="B1113" s="1" t="s">
        <v>51</v>
      </c>
      <c r="C1113" s="1"/>
      <c r="D1113" s="1"/>
      <c r="E1113" s="1"/>
      <c r="F1113" s="1"/>
      <c r="G1113" s="1"/>
    </row>
    <row r="1114" spans="2:7" ht="12.75">
      <c r="B1114" s="1" t="s">
        <v>98</v>
      </c>
      <c r="C1114" s="1"/>
      <c r="D1114" s="1"/>
      <c r="E1114" s="1"/>
      <c r="F1114" s="1"/>
      <c r="G1114" s="1"/>
    </row>
    <row r="1115" spans="2:7" ht="12.75" customHeight="1">
      <c r="B1115" s="2"/>
      <c r="C1115" s="2" t="s">
        <v>3</v>
      </c>
      <c r="D1115" s="3" t="s">
        <v>41</v>
      </c>
      <c r="E1115" s="3"/>
      <c r="F1115" s="4" t="s">
        <v>5</v>
      </c>
      <c r="G1115" s="4"/>
    </row>
    <row r="1116" spans="2:7" ht="12.75">
      <c r="B1116" s="2"/>
      <c r="C1116" s="2"/>
      <c r="D1116" s="3" t="s">
        <v>6</v>
      </c>
      <c r="E1116" s="3" t="s">
        <v>7</v>
      </c>
      <c r="F1116" s="3" t="s">
        <v>6</v>
      </c>
      <c r="G1116" s="3" t="s">
        <v>8</v>
      </c>
    </row>
    <row r="1117" spans="2:7" ht="12.75">
      <c r="B1117" s="5">
        <v>1</v>
      </c>
      <c r="C1117" s="6" t="s">
        <v>9</v>
      </c>
      <c r="D1117" s="1">
        <v>402.8</v>
      </c>
      <c r="E1117" s="1"/>
      <c r="F1117" s="1">
        <v>402.8</v>
      </c>
      <c r="G1117" s="1"/>
    </row>
    <row r="1118" spans="2:7" ht="12.75">
      <c r="B1118" s="5">
        <v>2</v>
      </c>
      <c r="C1118" s="7" t="s">
        <v>67</v>
      </c>
      <c r="D1118" s="8"/>
      <c r="E1118" s="8"/>
      <c r="F1118" s="8" t="s">
        <v>3</v>
      </c>
      <c r="G1118" s="8"/>
    </row>
    <row r="1119" spans="2:7" ht="12.75">
      <c r="B1119" s="5"/>
      <c r="C1119" s="2" t="s">
        <v>49</v>
      </c>
      <c r="D1119" s="9"/>
      <c r="E1119" s="9"/>
      <c r="F1119" s="9">
        <v>95051.52</v>
      </c>
      <c r="G1119" s="9"/>
    </row>
    <row r="1120" spans="2:7" ht="12.75">
      <c r="B1120" s="5"/>
      <c r="C1120" s="2" t="s">
        <v>50</v>
      </c>
      <c r="D1120" s="9"/>
      <c r="E1120" s="9"/>
      <c r="F1120" s="9">
        <v>96191.74</v>
      </c>
      <c r="G1120" s="9"/>
    </row>
    <row r="1121" spans="2:7" ht="12.75">
      <c r="B1121" s="5"/>
      <c r="C1121" s="2" t="s">
        <v>13</v>
      </c>
      <c r="D1121" s="9"/>
      <c r="E1121" s="9"/>
      <c r="F1121" s="9">
        <f>F1120-F1119</f>
        <v>1140.2200000000012</v>
      </c>
      <c r="G1121" s="9"/>
    </row>
    <row r="1122" spans="2:7" ht="12.75">
      <c r="B1122" s="5">
        <v>3</v>
      </c>
      <c r="C1122" s="10" t="s">
        <v>14</v>
      </c>
      <c r="D1122" s="1" t="s">
        <v>15</v>
      </c>
      <c r="E1122" s="1"/>
      <c r="F1122" s="1" t="s">
        <v>15</v>
      </c>
      <c r="G1122" s="1"/>
    </row>
    <row r="1123" spans="2:7" ht="12.75">
      <c r="B1123" s="11" t="s">
        <v>16</v>
      </c>
      <c r="C1123" s="11"/>
      <c r="D1123" s="13">
        <f>E1123*D1117*12/1000</f>
        <v>13.099056000000001</v>
      </c>
      <c r="E1123" s="13">
        <v>2.71</v>
      </c>
      <c r="F1123" s="13">
        <v>12.83</v>
      </c>
      <c r="G1123" s="13">
        <f>F1123/402.8/12*1000</f>
        <v>2.654336312479311</v>
      </c>
    </row>
    <row r="1124" spans="2:7" ht="12.75" customHeight="1">
      <c r="B1124" s="14" t="s">
        <v>17</v>
      </c>
      <c r="C1124" s="14"/>
      <c r="D1124" s="1">
        <f>D1125+D1126+D1127</f>
        <v>27.130000000000003</v>
      </c>
      <c r="E1124" s="13">
        <f>D1124/402.8/12*1000</f>
        <v>5.612793776895068</v>
      </c>
      <c r="F1124" s="1">
        <f>F1125+F1126+F1127</f>
        <v>49.080000000000005</v>
      </c>
      <c r="G1124" s="13">
        <f>F1124/402.8/12*1000</f>
        <v>10.153922542204569</v>
      </c>
    </row>
    <row r="1125" spans="2:7" ht="12.75">
      <c r="B1125" s="2"/>
      <c r="C1125" s="15" t="s">
        <v>18</v>
      </c>
      <c r="D1125" s="9">
        <v>21.03</v>
      </c>
      <c r="E1125" s="13">
        <f>D1125/402.8/12*1000</f>
        <v>4.350794438927508</v>
      </c>
      <c r="F1125" s="9">
        <f>7.73+0.37+12.94</f>
        <v>21.04</v>
      </c>
      <c r="G1125" s="13">
        <f>F1125/402.8/12*1000</f>
        <v>4.352863290301224</v>
      </c>
    </row>
    <row r="1126" spans="2:7" ht="12.75">
      <c r="B1126" s="2"/>
      <c r="C1126" s="15" t="s">
        <v>19</v>
      </c>
      <c r="D1126" s="18">
        <v>6.1</v>
      </c>
      <c r="E1126" s="13">
        <f>D1126/402.8/12*1000</f>
        <v>1.2619993379675603</v>
      </c>
      <c r="F1126" s="45">
        <v>22.44</v>
      </c>
      <c r="G1126" s="13">
        <f>F1126/402.8/12*1000</f>
        <v>4.642502482621648</v>
      </c>
    </row>
    <row r="1127" spans="2:7" ht="12.75">
      <c r="B1127" s="32" t="s">
        <v>20</v>
      </c>
      <c r="C1127" s="32"/>
      <c r="D1127" s="18">
        <v>0</v>
      </c>
      <c r="E1127" s="13">
        <f>D1127/402.8/12*1000</f>
        <v>0</v>
      </c>
      <c r="F1127" s="18">
        <v>5.6</v>
      </c>
      <c r="G1127" s="13">
        <f>F1127/402.8/12*1000</f>
        <v>1.1585567692816947</v>
      </c>
    </row>
    <row r="1128" spans="2:7" ht="12.75" customHeight="1">
      <c r="B1128" s="19" t="s">
        <v>21</v>
      </c>
      <c r="C1128" s="19"/>
      <c r="D1128" s="13">
        <f>D1129+D1131+D1130</f>
        <v>30.213312</v>
      </c>
      <c r="E1128" s="13">
        <f>D1128/402.8/12*1000</f>
        <v>6.250685203574975</v>
      </c>
      <c r="F1128" s="13">
        <f>F1129+F1131+F1130</f>
        <v>34.47</v>
      </c>
      <c r="G1128" s="13">
        <f>F1128/402.8/12*1000</f>
        <v>7.131330685203575</v>
      </c>
    </row>
    <row r="1129" spans="2:7" ht="12.75">
      <c r="B1129" s="2"/>
      <c r="C1129" s="15" t="s">
        <v>22</v>
      </c>
      <c r="D1129" s="9">
        <f>E1129*D1117*12/1000</f>
        <v>25.328063999999998</v>
      </c>
      <c r="E1129" s="13">
        <v>5.24</v>
      </c>
      <c r="F1129" s="8">
        <f>18.06+5.5+0.8+2.44+0.33+2.15+2.83+1.67+0.28</f>
        <v>34.06</v>
      </c>
      <c r="G1129" s="13">
        <f>F1129/402.8/12*1000</f>
        <v>7.046507778881165</v>
      </c>
    </row>
    <row r="1130" spans="2:7" ht="12.75">
      <c r="B1130" s="2"/>
      <c r="C1130" s="15" t="s">
        <v>23</v>
      </c>
      <c r="D1130" s="9">
        <f>E1130*D1117*12/1000</f>
        <v>4.495248</v>
      </c>
      <c r="E1130" s="13">
        <v>0.93</v>
      </c>
      <c r="F1130" s="9">
        <v>0.41</v>
      </c>
      <c r="G1130" s="13">
        <f>F1130/402.8/12*1000</f>
        <v>0.0848229063224098</v>
      </c>
    </row>
    <row r="1131" spans="2:7" ht="12.75">
      <c r="B1131" s="2"/>
      <c r="C1131" s="20" t="s">
        <v>24</v>
      </c>
      <c r="D1131" s="9">
        <v>0.39</v>
      </c>
      <c r="E1131" s="13">
        <f>D1131/402.8/12*1000</f>
        <v>0.08068520357497518</v>
      </c>
      <c r="F1131" s="9">
        <v>0</v>
      </c>
      <c r="G1131" s="13">
        <f>F1131/402.8/12*1000</f>
        <v>0</v>
      </c>
    </row>
    <row r="1132" spans="2:7" ht="12.75">
      <c r="B1132" s="11" t="s">
        <v>25</v>
      </c>
      <c r="C1132" s="11"/>
      <c r="D1132" s="13">
        <f>E1132*D1117*12/1000</f>
        <v>2.8518239999999997</v>
      </c>
      <c r="E1132" s="13">
        <v>0.59</v>
      </c>
      <c r="F1132" s="13">
        <v>2.89</v>
      </c>
      <c r="G1132" s="13">
        <f>F1132/402.8/12*1000</f>
        <v>0.5978980470043033</v>
      </c>
    </row>
    <row r="1133" spans="2:7" ht="12.75">
      <c r="B1133" s="21" t="s">
        <v>26</v>
      </c>
      <c r="C1133" s="21"/>
      <c r="D1133" s="13">
        <f>E1133*D1117*12/1000</f>
        <v>14.935824</v>
      </c>
      <c r="E1133" s="13">
        <v>3.09</v>
      </c>
      <c r="F1133" s="1">
        <f>2.7+12.42</f>
        <v>15.120000000000001</v>
      </c>
      <c r="G1133" s="13">
        <f>F1133/402.8/12*1000</f>
        <v>3.128103277060576</v>
      </c>
    </row>
    <row r="1134" spans="2:7" ht="12.75">
      <c r="B1134" s="2"/>
      <c r="C1134" s="10" t="s">
        <v>28</v>
      </c>
      <c r="D1134" s="12">
        <f>D1123+D1124+D1128+D1132+D1133</f>
        <v>88.23001599999999</v>
      </c>
      <c r="E1134" s="12">
        <f>E1123+E1124+E1128+E1132+E1133</f>
        <v>18.253478980470042</v>
      </c>
      <c r="F1134" s="12">
        <f>F1123+F1124+F1128+F1132+F1133</f>
        <v>114.39</v>
      </c>
      <c r="G1134" s="13">
        <f>G1123+G1124+G1128+G1132+G1133</f>
        <v>23.665590863952332</v>
      </c>
    </row>
    <row r="1135" spans="2:7" ht="12.75">
      <c r="B1135" s="2">
        <v>4</v>
      </c>
      <c r="C1135" s="10" t="s">
        <v>29</v>
      </c>
      <c r="D1135" s="13">
        <v>8.82</v>
      </c>
      <c r="E1135" s="12">
        <v>1.8</v>
      </c>
      <c r="F1135" s="12"/>
      <c r="G1135" s="12"/>
    </row>
    <row r="1136" spans="2:7" ht="12.75">
      <c r="B1136" s="5">
        <v>5</v>
      </c>
      <c r="C1136" s="10" t="s">
        <v>13</v>
      </c>
      <c r="D1136" s="13">
        <f>D1134+D1135</f>
        <v>97.050016</v>
      </c>
      <c r="E1136" s="13">
        <f>E1134+E1135</f>
        <v>20.053478980470043</v>
      </c>
      <c r="F1136" s="13">
        <f>F1134-F1120/1000</f>
        <v>18.19825999999999</v>
      </c>
      <c r="G1136" s="13"/>
    </row>
    <row r="1137" spans="2:7" ht="12.75">
      <c r="B1137" s="23"/>
      <c r="C1137" s="23"/>
      <c r="D1137" s="25"/>
      <c r="E1137" s="25"/>
      <c r="F1137" s="23"/>
      <c r="G1137" s="23"/>
    </row>
    <row r="1138" spans="2:7" ht="12.75">
      <c r="B1138" s="23"/>
      <c r="C1138" s="14" t="s">
        <v>38</v>
      </c>
      <c r="D1138" s="25"/>
      <c r="E1138" s="25"/>
      <c r="F1138" s="1">
        <v>39.3</v>
      </c>
      <c r="G1138" s="23"/>
    </row>
    <row r="1139" spans="2:7" ht="12.75">
      <c r="B1139" s="23" t="s">
        <v>39</v>
      </c>
      <c r="C1139" s="23"/>
      <c r="D1139" s="23"/>
      <c r="E1139" s="23"/>
      <c r="F1139" s="23"/>
      <c r="G1139" s="23"/>
    </row>
    <row r="1141" spans="2:7" ht="12.75">
      <c r="B1141" s="1" t="s">
        <v>0</v>
      </c>
      <c r="C1141" s="1"/>
      <c r="D1141" s="1"/>
      <c r="E1141" s="1"/>
      <c r="F1141" s="1"/>
      <c r="G1141" s="1"/>
    </row>
    <row r="1142" spans="2:7" ht="12.75">
      <c r="B1142" s="1" t="s">
        <v>51</v>
      </c>
      <c r="C1142" s="1"/>
      <c r="D1142" s="1"/>
      <c r="E1142" s="1"/>
      <c r="F1142" s="1"/>
      <c r="G1142" s="1"/>
    </row>
    <row r="1143" spans="2:7" ht="12.75">
      <c r="B1143" s="1" t="s">
        <v>99</v>
      </c>
      <c r="C1143" s="1"/>
      <c r="D1143" s="1"/>
      <c r="E1143" s="1"/>
      <c r="F1143" s="1"/>
      <c r="G1143" s="1"/>
    </row>
    <row r="1144" spans="2:7" ht="12.75" customHeight="1">
      <c r="B1144" s="2"/>
      <c r="C1144" s="2" t="s">
        <v>3</v>
      </c>
      <c r="D1144" s="3" t="s">
        <v>41</v>
      </c>
      <c r="E1144" s="3"/>
      <c r="F1144" s="4" t="s">
        <v>5</v>
      </c>
      <c r="G1144" s="4"/>
    </row>
    <row r="1145" spans="2:7" ht="12.75">
      <c r="B1145" s="2"/>
      <c r="C1145" s="2"/>
      <c r="D1145" s="3" t="s">
        <v>6</v>
      </c>
      <c r="E1145" s="3" t="s">
        <v>7</v>
      </c>
      <c r="F1145" s="3" t="s">
        <v>6</v>
      </c>
      <c r="G1145" s="3" t="s">
        <v>8</v>
      </c>
    </row>
    <row r="1146" spans="2:7" ht="12.75">
      <c r="B1146" s="5">
        <v>1</v>
      </c>
      <c r="C1146" s="6" t="s">
        <v>9</v>
      </c>
      <c r="D1146" s="1">
        <v>3392.8</v>
      </c>
      <c r="E1146" s="1"/>
      <c r="F1146" s="1">
        <v>3392.8</v>
      </c>
      <c r="G1146" s="1"/>
    </row>
    <row r="1147" spans="2:7" ht="12.75">
      <c r="B1147" s="5">
        <v>2</v>
      </c>
      <c r="C1147" s="7" t="s">
        <v>10</v>
      </c>
      <c r="D1147" s="8"/>
      <c r="E1147" s="8"/>
      <c r="F1147" s="8" t="s">
        <v>3</v>
      </c>
      <c r="G1147" s="8"/>
    </row>
    <row r="1148" spans="2:7" ht="12.75">
      <c r="B1148" s="5"/>
      <c r="C1148" s="20" t="s">
        <v>11</v>
      </c>
      <c r="D1148" s="9"/>
      <c r="E1148" s="9"/>
      <c r="F1148" s="9">
        <v>896994.41</v>
      </c>
      <c r="G1148" s="9"/>
    </row>
    <row r="1149" spans="2:7" ht="12.75">
      <c r="B1149" s="5"/>
      <c r="C1149" s="34" t="s">
        <v>12</v>
      </c>
      <c r="D1149" s="9"/>
      <c r="E1149" s="9"/>
      <c r="F1149" s="9">
        <v>854910.11</v>
      </c>
      <c r="G1149" s="9"/>
    </row>
    <row r="1150" spans="2:7" ht="12.75">
      <c r="B1150" s="5"/>
      <c r="C1150" s="2" t="s">
        <v>13</v>
      </c>
      <c r="D1150" s="9"/>
      <c r="E1150" s="9"/>
      <c r="F1150" s="9">
        <f>F1149-F1148</f>
        <v>-42084.30000000005</v>
      </c>
      <c r="G1150" s="9"/>
    </row>
    <row r="1151" spans="2:7" ht="12.75">
      <c r="B1151" s="5">
        <v>3</v>
      </c>
      <c r="C1151" s="10" t="s">
        <v>14</v>
      </c>
      <c r="D1151" s="1" t="s">
        <v>15</v>
      </c>
      <c r="E1151" s="1"/>
      <c r="F1151" s="1" t="s">
        <v>15</v>
      </c>
      <c r="G1151" s="1"/>
    </row>
    <row r="1152" spans="2:7" ht="12.75">
      <c r="B1152" s="11" t="s">
        <v>16</v>
      </c>
      <c r="C1152" s="11"/>
      <c r="D1152" s="13">
        <f>E1152*D1146*12/1000</f>
        <v>110.33385600000001</v>
      </c>
      <c r="E1152" s="13">
        <v>2.71</v>
      </c>
      <c r="F1152" s="13">
        <v>121.1</v>
      </c>
      <c r="G1152" s="13">
        <f>F1152/3392.8/12*1000</f>
        <v>2.9744360606775126</v>
      </c>
    </row>
    <row r="1153" spans="2:7" ht="12.75" customHeight="1">
      <c r="B1153" s="14" t="s">
        <v>17</v>
      </c>
      <c r="C1153" s="14"/>
      <c r="D1153" s="1">
        <f>D1154+D1155+D1156</f>
        <v>228.3</v>
      </c>
      <c r="E1153" s="13">
        <f>D1153/3392.8/12*1000</f>
        <v>5.607462862532421</v>
      </c>
      <c r="F1153" s="1">
        <f>F1154+F1155+F1156</f>
        <v>281.95000000000005</v>
      </c>
      <c r="G1153" s="13">
        <f>F1153/3392.8/12*1000</f>
        <v>6.925204354318951</v>
      </c>
    </row>
    <row r="1154" spans="2:7" ht="12.75">
      <c r="B1154" s="2"/>
      <c r="C1154" s="15" t="s">
        <v>18</v>
      </c>
      <c r="D1154" s="9">
        <v>177</v>
      </c>
      <c r="E1154" s="13">
        <v>4.2</v>
      </c>
      <c r="F1154" s="9">
        <f>65.14+4.08+109</f>
        <v>178.22</v>
      </c>
      <c r="G1154" s="13">
        <f>F1154/3392.8/12*1000</f>
        <v>4.377407058083785</v>
      </c>
    </row>
    <row r="1155" spans="2:7" ht="12.75">
      <c r="B1155" s="2"/>
      <c r="C1155" s="15" t="s">
        <v>19</v>
      </c>
      <c r="D1155" s="17">
        <v>51.3</v>
      </c>
      <c r="E1155" s="13">
        <v>1.4</v>
      </c>
      <c r="F1155" s="45">
        <v>98.13</v>
      </c>
      <c r="G1155" s="13">
        <f>F1155/3392.8/12*1000</f>
        <v>2.4102511200188634</v>
      </c>
    </row>
    <row r="1156" spans="2:7" ht="12.75">
      <c r="B1156" s="32" t="s">
        <v>20</v>
      </c>
      <c r="C1156" s="32"/>
      <c r="D1156" s="18">
        <v>0</v>
      </c>
      <c r="E1156" s="13">
        <f>D1156/3392.8/12*1000</f>
        <v>0</v>
      </c>
      <c r="F1156" s="18">
        <v>5.6</v>
      </c>
      <c r="G1156" s="13">
        <f>F1156/3392.8/12*1000</f>
        <v>0.1375461762163012</v>
      </c>
    </row>
    <row r="1157" spans="2:7" ht="12.75" customHeight="1">
      <c r="B1157" s="19" t="s">
        <v>21</v>
      </c>
      <c r="C1157" s="19"/>
      <c r="D1157" s="13">
        <f>D1158+D1160+D1159</f>
        <v>254.44291200000004</v>
      </c>
      <c r="E1157" s="13">
        <f>D1157/3392.8/12*1000</f>
        <v>6.249580287668002</v>
      </c>
      <c r="F1157" s="13">
        <f>F1158+F1160+F1159</f>
        <v>267.18</v>
      </c>
      <c r="G1157" s="13">
        <f>F1157/3392.8/12*1000</f>
        <v>6.562426314548455</v>
      </c>
    </row>
    <row r="1158" spans="2:7" ht="12.75">
      <c r="B1158" s="2"/>
      <c r="C1158" s="15" t="s">
        <v>22</v>
      </c>
      <c r="D1158" s="9">
        <f>E1158*D1146*12/1000</f>
        <v>213.33926400000001</v>
      </c>
      <c r="E1158" s="13">
        <v>5.24</v>
      </c>
      <c r="F1158" s="8">
        <f>152.14+46.4+6.65+20.52+2.76+0.89+16+9.34+0.35+2.38</f>
        <v>257.43</v>
      </c>
      <c r="G1158" s="13">
        <f>F1158/3392.8/12*1000</f>
        <v>6.322948597029002</v>
      </c>
    </row>
    <row r="1159" spans="2:7" ht="12.75">
      <c r="B1159" s="2"/>
      <c r="C1159" s="15" t="s">
        <v>23</v>
      </c>
      <c r="D1159" s="9">
        <f>E1159*D1146*12/1000</f>
        <v>37.863648000000005</v>
      </c>
      <c r="E1159" s="13">
        <v>0.93</v>
      </c>
      <c r="F1159" s="9">
        <v>5.27</v>
      </c>
      <c r="G1159" s="13">
        <f>F1159/3392.8/12*1000</f>
        <v>0.12944077654641198</v>
      </c>
    </row>
    <row r="1160" spans="2:7" ht="12.75">
      <c r="B1160" s="2"/>
      <c r="C1160" s="20" t="s">
        <v>24</v>
      </c>
      <c r="D1160" s="9">
        <v>3.24</v>
      </c>
      <c r="E1160" s="13">
        <f>D1160/3392.8/12*1000</f>
        <v>0.07958028766800283</v>
      </c>
      <c r="F1160" s="9">
        <v>4.48</v>
      </c>
      <c r="G1160" s="13">
        <f>F1160/3392.8/12*1000</f>
        <v>0.11003694097304095</v>
      </c>
    </row>
    <row r="1161" spans="2:7" ht="12.75">
      <c r="B1161" s="11" t="s">
        <v>25</v>
      </c>
      <c r="C1161" s="11"/>
      <c r="D1161" s="13">
        <f>E1161*D1146*12/1000</f>
        <v>24.021023999999997</v>
      </c>
      <c r="E1161" s="13">
        <v>0.59</v>
      </c>
      <c r="F1161" s="13">
        <v>25.57</v>
      </c>
      <c r="G1161" s="13">
        <f>F1161/3392.8/12*1000</f>
        <v>0.6280456653305038</v>
      </c>
    </row>
    <row r="1162" spans="2:7" ht="12.75">
      <c r="B1162" s="21" t="s">
        <v>26</v>
      </c>
      <c r="C1162" s="21"/>
      <c r="D1162" s="13">
        <f>E1162*D1146*12/1000</f>
        <v>125.805024</v>
      </c>
      <c r="E1162" s="13">
        <v>3.09</v>
      </c>
      <c r="F1162" s="1">
        <f>22.8+104.63</f>
        <v>127.42999999999999</v>
      </c>
      <c r="G1162" s="13">
        <f>F1162/3392.8/12*1000</f>
        <v>3.1299123634362958</v>
      </c>
    </row>
    <row r="1163" spans="2:7" ht="12.75">
      <c r="B1163" s="21"/>
      <c r="C1163" s="22" t="s">
        <v>27</v>
      </c>
      <c r="D1163" s="13">
        <v>0</v>
      </c>
      <c r="E1163" s="13">
        <f>D1163/3392.8/12*1000</f>
        <v>0</v>
      </c>
      <c r="F1163" s="1">
        <v>22.09</v>
      </c>
      <c r="G1163" s="13">
        <f>F1163/3392.8/12*1000</f>
        <v>0.5425705415389451</v>
      </c>
    </row>
    <row r="1164" spans="2:7" ht="12.75">
      <c r="B1164" s="2"/>
      <c r="C1164" s="10" t="s">
        <v>28</v>
      </c>
      <c r="D1164" s="12">
        <f>D1152+D1153+D1157+D1161+D1162</f>
        <v>742.9028160000001</v>
      </c>
      <c r="E1164" s="12">
        <f>E1152+E1153+E1157+E1161+E1162</f>
        <v>18.247043150200422</v>
      </c>
      <c r="F1164" s="12">
        <f>F1152+F1153+F1157+F1161+F1162+F1163</f>
        <v>845.32</v>
      </c>
      <c r="G1164" s="13">
        <f>G1152+G1153+G1157+G1161+G1162+G1163</f>
        <v>20.762595299850666</v>
      </c>
    </row>
    <row r="1165" spans="2:7" ht="12.75">
      <c r="B1165" s="2">
        <v>4</v>
      </c>
      <c r="C1165" s="10" t="s">
        <v>29</v>
      </c>
      <c r="D1165" s="13">
        <v>74.26</v>
      </c>
      <c r="E1165" s="12">
        <v>1.8</v>
      </c>
      <c r="F1165" s="12"/>
      <c r="G1165" s="12"/>
    </row>
    <row r="1166" spans="2:7" ht="12.75">
      <c r="B1166" s="5">
        <v>5</v>
      </c>
      <c r="C1166" s="10" t="s">
        <v>13</v>
      </c>
      <c r="D1166" s="13">
        <f>D1164+D1165</f>
        <v>817.1628160000001</v>
      </c>
      <c r="E1166" s="13">
        <f>E1164+E1165</f>
        <v>20.047043150200423</v>
      </c>
      <c r="F1166" s="13">
        <f>F1164-F1149/1000</f>
        <v>-9.590109999999981</v>
      </c>
      <c r="G1166" s="13"/>
    </row>
    <row r="1167" spans="2:7" ht="12.75">
      <c r="B1167" s="23"/>
      <c r="C1167" s="23"/>
      <c r="D1167" s="25"/>
      <c r="E1167" s="25"/>
      <c r="F1167" s="23"/>
      <c r="G1167" s="23"/>
    </row>
    <row r="1168" spans="2:7" ht="12.75">
      <c r="B1168" s="23"/>
      <c r="C1168" s="14" t="s">
        <v>45</v>
      </c>
      <c r="D1168" s="25"/>
      <c r="E1168" s="25"/>
      <c r="F1168" s="5">
        <v>-384.1</v>
      </c>
      <c r="G1168" s="23"/>
    </row>
    <row r="1169" spans="2:7" ht="12.75">
      <c r="B1169" s="23" t="s">
        <v>39</v>
      </c>
      <c r="C1169" s="23"/>
      <c r="D1169" s="23"/>
      <c r="E1169" s="23"/>
      <c r="F1169" s="23"/>
      <c r="G1169" s="23"/>
    </row>
    <row r="1170" spans="2:4" ht="12.75">
      <c r="B1170" s="30"/>
      <c r="C1170" s="29"/>
      <c r="D1170" s="38"/>
    </row>
    <row r="1171" spans="2:4" ht="12.75">
      <c r="B1171" s="30"/>
      <c r="C1171" s="29"/>
      <c r="D1171" s="38"/>
    </row>
    <row r="1172" spans="2:7" ht="12.75">
      <c r="B1172" s="1" t="s">
        <v>0</v>
      </c>
      <c r="C1172" s="1"/>
      <c r="D1172" s="1"/>
      <c r="E1172" s="1"/>
      <c r="F1172" s="1"/>
      <c r="G1172" s="1"/>
    </row>
    <row r="1173" spans="2:7" ht="12.75">
      <c r="B1173" s="1" t="s">
        <v>51</v>
      </c>
      <c r="C1173" s="1"/>
      <c r="D1173" s="1"/>
      <c r="E1173" s="1"/>
      <c r="F1173" s="1"/>
      <c r="G1173" s="1"/>
    </row>
    <row r="1174" spans="2:7" ht="12.75">
      <c r="B1174" s="1" t="s">
        <v>100</v>
      </c>
      <c r="C1174" s="1"/>
      <c r="D1174" s="1"/>
      <c r="E1174" s="1"/>
      <c r="F1174" s="1"/>
      <c r="G1174" s="1"/>
    </row>
    <row r="1175" spans="2:7" ht="12.75" customHeight="1">
      <c r="B1175" s="2"/>
      <c r="C1175" s="2" t="s">
        <v>3</v>
      </c>
      <c r="D1175" s="3" t="s">
        <v>41</v>
      </c>
      <c r="E1175" s="3"/>
      <c r="F1175" s="4" t="s">
        <v>5</v>
      </c>
      <c r="G1175" s="4"/>
    </row>
    <row r="1176" spans="2:7" ht="12.75">
      <c r="B1176" s="2"/>
      <c r="C1176" s="2"/>
      <c r="D1176" s="3" t="s">
        <v>6</v>
      </c>
      <c r="E1176" s="3" t="s">
        <v>7</v>
      </c>
      <c r="F1176" s="3" t="s">
        <v>6</v>
      </c>
      <c r="G1176" s="3" t="s">
        <v>8</v>
      </c>
    </row>
    <row r="1177" spans="2:7" ht="12.75">
      <c r="B1177" s="5">
        <v>1</v>
      </c>
      <c r="C1177" s="6" t="s">
        <v>9</v>
      </c>
      <c r="D1177" s="13">
        <v>2820</v>
      </c>
      <c r="E1177" s="13"/>
      <c r="F1177" s="13">
        <v>2820</v>
      </c>
      <c r="G1177" s="13"/>
    </row>
    <row r="1178" spans="2:7" ht="12.75">
      <c r="B1178" s="5">
        <v>2</v>
      </c>
      <c r="C1178" s="7" t="s">
        <v>55</v>
      </c>
      <c r="D1178" s="8"/>
      <c r="E1178" s="8"/>
      <c r="F1178" s="8" t="s">
        <v>3</v>
      </c>
      <c r="G1178" s="8"/>
    </row>
    <row r="1179" spans="2:7" ht="12.75">
      <c r="B1179" s="5"/>
      <c r="C1179" s="20" t="s">
        <v>56</v>
      </c>
      <c r="D1179" s="9"/>
      <c r="E1179" s="9"/>
      <c r="F1179" s="9">
        <v>678283.18</v>
      </c>
      <c r="G1179" s="9"/>
    </row>
    <row r="1180" spans="2:7" ht="12.75">
      <c r="B1180" s="5"/>
      <c r="C1180" s="34" t="s">
        <v>57</v>
      </c>
      <c r="D1180" s="9"/>
      <c r="E1180" s="9"/>
      <c r="F1180" s="9">
        <v>693420.09</v>
      </c>
      <c r="G1180" s="9"/>
    </row>
    <row r="1181" spans="2:7" ht="12.75">
      <c r="B1181" s="5"/>
      <c r="C1181" s="2" t="s">
        <v>13</v>
      </c>
      <c r="D1181" s="9"/>
      <c r="E1181" s="9"/>
      <c r="F1181" s="9">
        <f>F1180-F1179</f>
        <v>15136.909999999916</v>
      </c>
      <c r="G1181" s="9"/>
    </row>
    <row r="1182" spans="2:7" ht="12.75">
      <c r="B1182" s="5">
        <v>3</v>
      </c>
      <c r="C1182" s="10" t="s">
        <v>14</v>
      </c>
      <c r="D1182" s="1" t="s">
        <v>15</v>
      </c>
      <c r="E1182" s="1"/>
      <c r="F1182" s="1" t="s">
        <v>15</v>
      </c>
      <c r="G1182" s="1"/>
    </row>
    <row r="1183" spans="2:7" ht="12.75">
      <c r="B1183" s="11" t="s">
        <v>16</v>
      </c>
      <c r="C1183" s="11"/>
      <c r="D1183" s="13">
        <f>E1183*D1177*12/1000</f>
        <v>91.70639999999999</v>
      </c>
      <c r="E1183" s="13">
        <v>2.71</v>
      </c>
      <c r="F1183" s="13">
        <v>91.57</v>
      </c>
      <c r="G1183" s="13">
        <f>F1183/2820/12*1000</f>
        <v>2.70596926713948</v>
      </c>
    </row>
    <row r="1184" spans="2:7" ht="12.75" customHeight="1">
      <c r="B1184" s="14" t="s">
        <v>17</v>
      </c>
      <c r="C1184" s="14"/>
      <c r="D1184" s="1">
        <f>D1185+D1186+D1187</f>
        <v>194.676</v>
      </c>
      <c r="E1184" s="1">
        <f>E1185+E1186+E1187</f>
        <v>5.6</v>
      </c>
      <c r="F1184" s="1">
        <f>F1185+F1186+F1187</f>
        <v>261.33</v>
      </c>
      <c r="G1184" s="13">
        <f>F1184/2820/12*1000</f>
        <v>7.722517730496453</v>
      </c>
    </row>
    <row r="1185" spans="2:7" ht="12.75">
      <c r="B1185" s="2"/>
      <c r="C1185" s="15" t="s">
        <v>18</v>
      </c>
      <c r="D1185" s="9">
        <v>147.3</v>
      </c>
      <c r="E1185" s="13">
        <v>4.2</v>
      </c>
      <c r="F1185" s="9">
        <f>54.13+7.63+90.57</f>
        <v>152.32999999999998</v>
      </c>
      <c r="G1185" s="13">
        <f>F1185/2820/12*1000</f>
        <v>4.501477541371157</v>
      </c>
    </row>
    <row r="1186" spans="2:7" ht="12.75">
      <c r="B1186" s="2"/>
      <c r="C1186" s="15" t="s">
        <v>19</v>
      </c>
      <c r="D1186" s="17">
        <f>E1186*D1177*12/1000</f>
        <v>47.37599999999999</v>
      </c>
      <c r="E1186" s="13">
        <v>1.4</v>
      </c>
      <c r="F1186" s="45">
        <v>109</v>
      </c>
      <c r="G1186" s="13">
        <f>F1186/2820/12*1000</f>
        <v>3.2210401891252953</v>
      </c>
    </row>
    <row r="1187" spans="2:7" ht="12.75">
      <c r="B1187" s="32" t="s">
        <v>20</v>
      </c>
      <c r="C1187" s="32"/>
      <c r="D1187" s="18">
        <v>0</v>
      </c>
      <c r="E1187" s="13">
        <f>D1187/2820/12*1000</f>
        <v>0</v>
      </c>
      <c r="F1187" s="18">
        <v>0</v>
      </c>
      <c r="G1187" s="13">
        <f>F1187/2820/12*1000</f>
        <v>0</v>
      </c>
    </row>
    <row r="1188" spans="2:7" ht="12.75" customHeight="1">
      <c r="B1188" s="19" t="s">
        <v>21</v>
      </c>
      <c r="C1188" s="19"/>
      <c r="D1188" s="13">
        <f>D1189+D1191+D1190</f>
        <v>211.50000000000003</v>
      </c>
      <c r="E1188" s="13">
        <f>E1189+E1191+E1190</f>
        <v>6.25</v>
      </c>
      <c r="F1188" s="13">
        <f>F1189+F1191+F1190</f>
        <v>212.18</v>
      </c>
      <c r="G1188" s="13">
        <f>F1188/2820/12*1000</f>
        <v>6.270094562647754</v>
      </c>
    </row>
    <row r="1189" spans="2:7" ht="12.75">
      <c r="B1189" s="2"/>
      <c r="C1189" s="15" t="s">
        <v>22</v>
      </c>
      <c r="D1189" s="9">
        <f>E1189*D1177*12/1000</f>
        <v>177.32160000000002</v>
      </c>
      <c r="E1189" s="13">
        <v>5.24</v>
      </c>
      <c r="F1189" s="8">
        <f>126.41+38.56+5.5+17.05+2.3+7.78+6.44+0.29+1.98</f>
        <v>206.31</v>
      </c>
      <c r="G1189" s="13">
        <f>F1189/2820/12*1000</f>
        <v>6.096631205673758</v>
      </c>
    </row>
    <row r="1190" spans="2:7" ht="12.75">
      <c r="B1190" s="2"/>
      <c r="C1190" s="15" t="s">
        <v>23</v>
      </c>
      <c r="D1190" s="9">
        <f>E1190*D1177*12/1000</f>
        <v>31.471200000000003</v>
      </c>
      <c r="E1190" s="13">
        <v>0.93</v>
      </c>
      <c r="F1190" s="9">
        <v>4.25</v>
      </c>
      <c r="G1190" s="13">
        <f>F1190/2820/12*1000</f>
        <v>0.12559101654846336</v>
      </c>
    </row>
    <row r="1191" spans="2:7" ht="12.75">
      <c r="B1191" s="2"/>
      <c r="C1191" s="20" t="s">
        <v>24</v>
      </c>
      <c r="D1191" s="9">
        <f>E1191*D1177*12/1000</f>
        <v>2.7072</v>
      </c>
      <c r="E1191" s="13">
        <v>0.08</v>
      </c>
      <c r="F1191" s="9">
        <v>1.62</v>
      </c>
      <c r="G1191" s="13">
        <f>F1191/2820/12*1000</f>
        <v>0.04787234042553192</v>
      </c>
    </row>
    <row r="1192" spans="2:7" ht="12.75">
      <c r="B1192" s="11" t="s">
        <v>25</v>
      </c>
      <c r="C1192" s="11"/>
      <c r="D1192" s="13">
        <f>E1192*D1177*12/1000</f>
        <v>19.9656</v>
      </c>
      <c r="E1192" s="13">
        <v>0.59</v>
      </c>
      <c r="F1192" s="13">
        <v>20.73</v>
      </c>
      <c r="G1192" s="13">
        <f>F1192/2820/12*1000</f>
        <v>0.6125886524822696</v>
      </c>
    </row>
    <row r="1193" spans="2:7" ht="12.75">
      <c r="B1193" s="21" t="s">
        <v>26</v>
      </c>
      <c r="C1193" s="21"/>
      <c r="D1193" s="13">
        <f>E1193*D1177*12/1000</f>
        <v>104.56559999999999</v>
      </c>
      <c r="E1193" s="13">
        <v>3.09</v>
      </c>
      <c r="F1193" s="1">
        <f>18.94+86.94</f>
        <v>105.88</v>
      </c>
      <c r="G1193" s="13">
        <f>F1193/2820/12*1000</f>
        <v>3.128841607565012</v>
      </c>
    </row>
    <row r="1194" spans="2:7" ht="12.75">
      <c r="B1194" s="2"/>
      <c r="C1194" s="10" t="s">
        <v>28</v>
      </c>
      <c r="D1194" s="12">
        <f>D1183+D1184+D1188+D1192+D1193</f>
        <v>622.4136</v>
      </c>
      <c r="E1194" s="12">
        <f>E1183+E1184+E1188+E1192+E1193</f>
        <v>18.24</v>
      </c>
      <c r="F1194" s="12">
        <f>F1183+F1184+F1188+F1192+F1193</f>
        <v>691.6899999999999</v>
      </c>
      <c r="G1194" s="13">
        <f>G1183+G1184+G1188+G1192+G1193</f>
        <v>20.440011820330966</v>
      </c>
    </row>
    <row r="1195" spans="2:7" ht="12.75">
      <c r="B1195" s="2">
        <v>4</v>
      </c>
      <c r="C1195" s="10" t="s">
        <v>29</v>
      </c>
      <c r="D1195" s="13">
        <v>62.2</v>
      </c>
      <c r="E1195" s="12">
        <v>1.81</v>
      </c>
      <c r="F1195" s="12"/>
      <c r="G1195" s="12"/>
    </row>
    <row r="1196" spans="2:7" ht="12.75">
      <c r="B1196" s="5">
        <v>5</v>
      </c>
      <c r="C1196" s="10" t="s">
        <v>13</v>
      </c>
      <c r="D1196" s="13">
        <f>D1194+D1195</f>
        <v>684.6136</v>
      </c>
      <c r="E1196" s="13">
        <f>E1194+E1195</f>
        <v>20.049999999999997</v>
      </c>
      <c r="F1196" s="13">
        <f>F1194-F1180/1000</f>
        <v>-1.7300900000000183</v>
      </c>
      <c r="G1196" s="13"/>
    </row>
    <row r="1197" spans="2:7" ht="12.75">
      <c r="B1197" s="23"/>
      <c r="C1197" s="23"/>
      <c r="D1197" s="25"/>
      <c r="E1197" s="25"/>
      <c r="F1197" s="23"/>
      <c r="G1197" s="23"/>
    </row>
    <row r="1198" spans="2:7" ht="12.75">
      <c r="B1198" s="11" t="s">
        <v>30</v>
      </c>
      <c r="C1198" s="11"/>
      <c r="D1198" s="33" t="s">
        <v>6</v>
      </c>
      <c r="E1198" s="25"/>
      <c r="F1198" s="25"/>
      <c r="G1198" s="25"/>
    </row>
    <row r="1199" spans="2:7" ht="12.75">
      <c r="B1199" s="25"/>
      <c r="C1199" s="34" t="s">
        <v>31</v>
      </c>
      <c r="D1199" s="35">
        <v>28671.26</v>
      </c>
      <c r="E1199" s="25"/>
      <c r="F1199" s="25"/>
      <c r="G1199" s="25"/>
    </row>
    <row r="1200" spans="2:7" ht="12.75">
      <c r="B1200" s="5"/>
      <c r="C1200" s="23" t="s">
        <v>32</v>
      </c>
      <c r="D1200" s="35">
        <v>29457</v>
      </c>
      <c r="E1200" s="25"/>
      <c r="F1200" s="25"/>
      <c r="G1200" s="25"/>
    </row>
    <row r="1201" spans="2:7" ht="12.75">
      <c r="B1201" s="5"/>
      <c r="C1201" s="36" t="s">
        <v>13</v>
      </c>
      <c r="D1201" s="33">
        <f>D1200-D1199</f>
        <v>785.7400000000016</v>
      </c>
      <c r="E1201" s="25"/>
      <c r="F1201" s="25"/>
      <c r="G1201" s="25"/>
    </row>
    <row r="1202" spans="2:7" ht="12.75">
      <c r="B1202" s="5"/>
      <c r="C1202" s="34" t="s">
        <v>33</v>
      </c>
      <c r="D1202" s="35">
        <v>31800.63</v>
      </c>
      <c r="E1202" s="25"/>
      <c r="F1202" s="25"/>
      <c r="G1202" s="25"/>
    </row>
    <row r="1203" spans="2:7" ht="12.75">
      <c r="B1203" s="5"/>
      <c r="C1203" s="23" t="s">
        <v>34</v>
      </c>
      <c r="D1203" s="35">
        <v>32765.34</v>
      </c>
      <c r="E1203" s="25"/>
      <c r="F1203" s="25"/>
      <c r="G1203" s="25"/>
    </row>
    <row r="1204" spans="2:7" ht="12.75">
      <c r="B1204" s="5"/>
      <c r="C1204" s="36" t="s">
        <v>13</v>
      </c>
      <c r="D1204" s="33">
        <f>D1203-D1202</f>
        <v>964.7099999999991</v>
      </c>
      <c r="E1204" s="25"/>
      <c r="F1204" s="25"/>
      <c r="G1204" s="25"/>
    </row>
    <row r="1205" spans="2:7" ht="12.75">
      <c r="B1205" s="5"/>
      <c r="C1205" s="34" t="s">
        <v>42</v>
      </c>
      <c r="D1205" s="35">
        <v>12319.42</v>
      </c>
      <c r="E1205" s="25"/>
      <c r="F1205" s="25"/>
      <c r="G1205" s="25"/>
    </row>
    <row r="1206" spans="2:7" ht="12.75">
      <c r="B1206" s="5"/>
      <c r="C1206" s="23" t="s">
        <v>43</v>
      </c>
      <c r="D1206" s="35">
        <v>9322.8</v>
      </c>
      <c r="E1206" s="25"/>
      <c r="F1206" s="25"/>
      <c r="G1206" s="25"/>
    </row>
    <row r="1207" spans="2:7" ht="12.75">
      <c r="B1207" s="5"/>
      <c r="C1207" s="36" t="s">
        <v>13</v>
      </c>
      <c r="D1207" s="33">
        <f>D1206-D1205</f>
        <v>-2996.620000000001</v>
      </c>
      <c r="E1207" s="25"/>
      <c r="F1207" s="25"/>
      <c r="G1207" s="25"/>
    </row>
    <row r="1208" spans="2:7" ht="12.75">
      <c r="B1208" s="11"/>
      <c r="C1208" s="11" t="s">
        <v>35</v>
      </c>
      <c r="D1208" s="27">
        <f>D1201+D1204+D1207</f>
        <v>-1246.17</v>
      </c>
      <c r="E1208" s="25"/>
      <c r="F1208" s="25"/>
      <c r="G1208" s="25"/>
    </row>
    <row r="1209" spans="2:7" ht="12.75">
      <c r="B1209" s="11"/>
      <c r="C1209" s="11"/>
      <c r="D1209" s="27"/>
      <c r="E1209" s="25"/>
      <c r="F1209" s="25"/>
      <c r="G1209" s="25"/>
    </row>
    <row r="1210" spans="2:7" ht="12.75">
      <c r="B1210" s="11"/>
      <c r="C1210" s="14" t="s">
        <v>44</v>
      </c>
      <c r="D1210" s="27" t="s">
        <v>37</v>
      </c>
      <c r="E1210" s="25"/>
      <c r="F1210" s="46">
        <v>-0.48</v>
      </c>
      <c r="G1210" s="25"/>
    </row>
    <row r="1211" spans="2:7" ht="12.75">
      <c r="B1211" s="11"/>
      <c r="C1211" s="14" t="s">
        <v>45</v>
      </c>
      <c r="D1211" s="27"/>
      <c r="E1211" s="25"/>
      <c r="F1211" s="47">
        <v>-18.4</v>
      </c>
      <c r="G1211" s="25"/>
    </row>
    <row r="1212" spans="2:7" ht="12.75">
      <c r="B1212" s="23" t="s">
        <v>39</v>
      </c>
      <c r="C1212" s="23"/>
      <c r="D1212" s="23"/>
      <c r="E1212" s="23"/>
      <c r="F1212" s="23"/>
      <c r="G1212" s="23"/>
    </row>
    <row r="1214" spans="2:7" ht="12.75">
      <c r="B1214" s="1" t="s">
        <v>0</v>
      </c>
      <c r="C1214" s="1"/>
      <c r="D1214" s="1"/>
      <c r="E1214" s="1"/>
      <c r="F1214" s="1"/>
      <c r="G1214" s="1"/>
    </row>
    <row r="1215" spans="2:7" ht="12.75">
      <c r="B1215" s="1" t="s">
        <v>51</v>
      </c>
      <c r="C1215" s="1"/>
      <c r="D1215" s="1"/>
      <c r="E1215" s="1"/>
      <c r="F1215" s="1"/>
      <c r="G1215" s="1"/>
    </row>
    <row r="1216" spans="2:7" ht="12.75">
      <c r="B1216" s="1" t="s">
        <v>101</v>
      </c>
      <c r="C1216" s="1"/>
      <c r="D1216" s="1"/>
      <c r="E1216" s="1"/>
      <c r="F1216" s="1"/>
      <c r="G1216" s="1"/>
    </row>
    <row r="1217" spans="2:7" ht="12.75" customHeight="1">
      <c r="B1217" s="2"/>
      <c r="C1217" s="2" t="s">
        <v>3</v>
      </c>
      <c r="D1217" s="3" t="s">
        <v>41</v>
      </c>
      <c r="E1217" s="3"/>
      <c r="F1217" s="4" t="s">
        <v>5</v>
      </c>
      <c r="G1217" s="4"/>
    </row>
    <row r="1218" spans="2:7" ht="12.75">
      <c r="B1218" s="2"/>
      <c r="C1218" s="2"/>
      <c r="D1218" s="3" t="s">
        <v>6</v>
      </c>
      <c r="E1218" s="3" t="s">
        <v>7</v>
      </c>
      <c r="F1218" s="3" t="s">
        <v>6</v>
      </c>
      <c r="G1218" s="3" t="s">
        <v>8</v>
      </c>
    </row>
    <row r="1219" spans="2:7" ht="12.75">
      <c r="B1219" s="5">
        <v>1</v>
      </c>
      <c r="C1219" s="6" t="s">
        <v>9</v>
      </c>
      <c r="D1219" s="1">
        <v>2613.8</v>
      </c>
      <c r="E1219" s="1"/>
      <c r="F1219" s="1">
        <v>2613.8</v>
      </c>
      <c r="G1219" s="1"/>
    </row>
    <row r="1220" spans="2:7" ht="12.75">
      <c r="B1220" s="5">
        <v>2</v>
      </c>
      <c r="C1220" s="7" t="s">
        <v>55</v>
      </c>
      <c r="D1220" s="8"/>
      <c r="E1220" s="8"/>
      <c r="F1220" s="8" t="s">
        <v>3</v>
      </c>
      <c r="G1220" s="8"/>
    </row>
    <row r="1221" spans="2:7" ht="12.75">
      <c r="B1221" s="5"/>
      <c r="C1221" s="20" t="s">
        <v>56</v>
      </c>
      <c r="D1221" s="9"/>
      <c r="E1221" s="9"/>
      <c r="F1221" s="9">
        <v>614052.68</v>
      </c>
      <c r="G1221" s="9"/>
    </row>
    <row r="1222" spans="2:7" ht="12.75">
      <c r="B1222" s="5"/>
      <c r="C1222" s="34" t="s">
        <v>57</v>
      </c>
      <c r="D1222" s="9"/>
      <c r="E1222" s="9"/>
      <c r="F1222" s="9">
        <v>591573.25</v>
      </c>
      <c r="G1222" s="9"/>
    </row>
    <row r="1223" spans="2:7" ht="12.75">
      <c r="B1223" s="5"/>
      <c r="C1223" s="2" t="s">
        <v>3</v>
      </c>
      <c r="D1223" s="9"/>
      <c r="E1223" s="9"/>
      <c r="F1223" s="9">
        <f>F1222-F1221</f>
        <v>-22479.43000000005</v>
      </c>
      <c r="G1223" s="9"/>
    </row>
    <row r="1224" spans="2:7" ht="12.75">
      <c r="B1224" s="5">
        <v>3</v>
      </c>
      <c r="C1224" s="10" t="s">
        <v>14</v>
      </c>
      <c r="D1224" s="1" t="s">
        <v>15</v>
      </c>
      <c r="E1224" s="1"/>
      <c r="F1224" s="1" t="s">
        <v>15</v>
      </c>
      <c r="G1224" s="1"/>
    </row>
    <row r="1225" spans="2:7" ht="12.75">
      <c r="B1225" s="11" t="s">
        <v>16</v>
      </c>
      <c r="C1225" s="11"/>
      <c r="D1225" s="13">
        <v>85</v>
      </c>
      <c r="E1225" s="13">
        <f>D1225/2613.8/12*1000</f>
        <v>2.7099752595199833</v>
      </c>
      <c r="F1225" s="13">
        <v>82.9</v>
      </c>
      <c r="G1225" s="13">
        <f>F1225/2613.8/12*1000</f>
        <v>2.6430229295789016</v>
      </c>
    </row>
    <row r="1226" spans="2:7" ht="12.75" customHeight="1">
      <c r="B1226" s="14" t="s">
        <v>17</v>
      </c>
      <c r="C1226" s="14"/>
      <c r="D1226" s="1">
        <f>D1227+D1228+D1229</f>
        <v>176</v>
      </c>
      <c r="E1226" s="1">
        <f>E1227+E1228+E1229</f>
        <v>5.6112428903002005</v>
      </c>
      <c r="F1226" s="1">
        <f>F1227+F1228+F1229</f>
        <v>203.24999999999997</v>
      </c>
      <c r="G1226" s="13">
        <f>F1226/2613.8/12*1000</f>
        <v>6.480029076440429</v>
      </c>
    </row>
    <row r="1227" spans="2:7" ht="12.75">
      <c r="B1227" s="2"/>
      <c r="C1227" s="15" t="s">
        <v>18</v>
      </c>
      <c r="D1227" s="9">
        <v>136.5</v>
      </c>
      <c r="E1227" s="13">
        <f>D1227/D1219/12*1000</f>
        <v>4.351901446170326</v>
      </c>
      <c r="F1227" s="9">
        <f>50.19+2.4+83.98</f>
        <v>136.57</v>
      </c>
      <c r="G1227" s="13">
        <f>F1227/2613.8/12*1000</f>
        <v>4.354133190501695</v>
      </c>
    </row>
    <row r="1228" spans="2:7" ht="12.75">
      <c r="B1228" s="2"/>
      <c r="C1228" s="15" t="s">
        <v>19</v>
      </c>
      <c r="D1228" s="17">
        <v>39.5</v>
      </c>
      <c r="E1228" s="13">
        <f>D1228/2613.8/12*1000</f>
        <v>1.2593414441298747</v>
      </c>
      <c r="F1228" s="45">
        <v>55.48</v>
      </c>
      <c r="G1228" s="13">
        <f>F1228/2613.8/12*1000</f>
        <v>1.7688167929196315</v>
      </c>
    </row>
    <row r="1229" spans="2:7" ht="12.75">
      <c r="B1229" s="32" t="s">
        <v>20</v>
      </c>
      <c r="C1229" s="32"/>
      <c r="D1229" s="18">
        <v>0</v>
      </c>
      <c r="E1229" s="13">
        <f>D1229/2613.8/12*1000</f>
        <v>0</v>
      </c>
      <c r="F1229" s="18">
        <v>11.2</v>
      </c>
      <c r="G1229" s="13">
        <f>F1229/2613.8/12*1000</f>
        <v>0.3570790930191037</v>
      </c>
    </row>
    <row r="1230" spans="2:7" ht="12.75" customHeight="1">
      <c r="B1230" s="19" t="s">
        <v>21</v>
      </c>
      <c r="C1230" s="19"/>
      <c r="D1230" s="13">
        <f>D1231+D1233+D1232</f>
        <v>196.035752</v>
      </c>
      <c r="E1230" s="13">
        <f>E1231+E1233+E1232</f>
        <v>6.2500239753105316</v>
      </c>
      <c r="F1230" s="13">
        <f>F1231+F1233+F1232</f>
        <v>196.70999999999998</v>
      </c>
      <c r="G1230" s="13">
        <f>F1230/2613.8/12*1000</f>
        <v>6.271520391766775</v>
      </c>
    </row>
    <row r="1231" spans="2:7" ht="12.75">
      <c r="B1231" s="2"/>
      <c r="C1231" s="15" t="s">
        <v>22</v>
      </c>
      <c r="D1231" s="9">
        <f>E1231*D1219*12/1000</f>
        <v>164.35574400000002</v>
      </c>
      <c r="E1231" s="13">
        <v>5.24</v>
      </c>
      <c r="F1231" s="8">
        <f>117.21+35.75+5.13+15.81+2.13+4.2+0.9+5.16+0.27+1.83</f>
        <v>188.39</v>
      </c>
      <c r="G1231" s="13">
        <f>F1231/2613.8/12*1000</f>
        <v>6.006261636952584</v>
      </c>
    </row>
    <row r="1232" spans="2:7" ht="12.75">
      <c r="B1232" s="2"/>
      <c r="C1232" s="15" t="s">
        <v>23</v>
      </c>
      <c r="D1232" s="9">
        <f>E1232*D1219*12/1000</f>
        <v>29.170008000000003</v>
      </c>
      <c r="E1232" s="13">
        <v>0.93</v>
      </c>
      <c r="F1232" s="9">
        <v>8.14</v>
      </c>
      <c r="G1232" s="13">
        <f>F1232/2613.8/12*1000</f>
        <v>0.2595199836763843</v>
      </c>
    </row>
    <row r="1233" spans="2:7" ht="12.75">
      <c r="B1233" s="2"/>
      <c r="C1233" s="20" t="s">
        <v>24</v>
      </c>
      <c r="D1233" s="9">
        <v>2.51</v>
      </c>
      <c r="E1233" s="13">
        <f>D1233/2613.8/12*1000</f>
        <v>0.08002397531053128</v>
      </c>
      <c r="F1233" s="9">
        <v>0.18</v>
      </c>
      <c r="G1233" s="13">
        <f>F1233/2613.8/12*1000</f>
        <v>0.005738771137807023</v>
      </c>
    </row>
    <row r="1234" spans="2:7" ht="12.75">
      <c r="B1234" s="11" t="s">
        <v>25</v>
      </c>
      <c r="C1234" s="11"/>
      <c r="D1234" s="13">
        <f>E1234*D1219*12/1000</f>
        <v>18.505704</v>
      </c>
      <c r="E1234" s="13">
        <v>0.59</v>
      </c>
      <c r="F1234" s="13">
        <v>17.67</v>
      </c>
      <c r="G1234" s="13">
        <f>F1234/2613.8/12*1000</f>
        <v>0.5633560333613896</v>
      </c>
    </row>
    <row r="1235" spans="2:7" ht="12.75">
      <c r="B1235" s="21" t="s">
        <v>26</v>
      </c>
      <c r="C1235" s="21"/>
      <c r="D1235" s="13">
        <f>E1235*D1219*12/1000</f>
        <v>96.919704</v>
      </c>
      <c r="E1235" s="13">
        <v>3.09</v>
      </c>
      <c r="F1235" s="1">
        <f>17.57+80.6</f>
        <v>98.16999999999999</v>
      </c>
      <c r="G1235" s="13">
        <f>F1235/2613.8/12*1000</f>
        <v>3.1298620144361973</v>
      </c>
    </row>
    <row r="1236" spans="2:7" ht="12.75">
      <c r="B1236" s="2"/>
      <c r="C1236" s="10" t="s">
        <v>28</v>
      </c>
      <c r="D1236" s="12">
        <f>D1225+D1226+D1230+D1234+D1235</f>
        <v>572.46116</v>
      </c>
      <c r="E1236" s="12">
        <f>E1225+E1226+E1230+E1234+E1235</f>
        <v>18.251242125130716</v>
      </c>
      <c r="F1236" s="12">
        <f>F1225+F1226+F1230+F1234+F1235</f>
        <v>598.6999999999999</v>
      </c>
      <c r="G1236" s="13">
        <f>G1225+G1226+G1230+G1234+G1235</f>
        <v>19.087790445583693</v>
      </c>
    </row>
    <row r="1237" spans="2:7" ht="12.75">
      <c r="B1237" s="2">
        <v>4</v>
      </c>
      <c r="C1237" s="10" t="s">
        <v>29</v>
      </c>
      <c r="D1237" s="13">
        <v>57.3</v>
      </c>
      <c r="E1237" s="12">
        <v>1.8</v>
      </c>
      <c r="F1237" s="12"/>
      <c r="G1237" s="12"/>
    </row>
    <row r="1238" spans="2:7" ht="12.75">
      <c r="B1238" s="5">
        <v>5</v>
      </c>
      <c r="C1238" s="10" t="s">
        <v>13</v>
      </c>
      <c r="D1238" s="13">
        <f>D1236+D1237</f>
        <v>629.7611599999999</v>
      </c>
      <c r="E1238" s="13">
        <f>E1236+E1237</f>
        <v>20.051242125130717</v>
      </c>
      <c r="F1238" s="13">
        <f>F1236-F1222/1000</f>
        <v>7.126749999999902</v>
      </c>
      <c r="G1238" s="13"/>
    </row>
    <row r="1239" spans="2:7" ht="12.75">
      <c r="B1239" s="5"/>
      <c r="C1239" s="10"/>
      <c r="D1239" s="13"/>
      <c r="E1239" s="13"/>
      <c r="F1239" s="13"/>
      <c r="G1239" s="13"/>
    </row>
    <row r="1240" spans="2:7" ht="12.75">
      <c r="B1240" s="5"/>
      <c r="C1240" s="10" t="s">
        <v>30</v>
      </c>
      <c r="D1240" s="37" t="s">
        <v>6</v>
      </c>
      <c r="E1240" s="13"/>
      <c r="F1240" s="13"/>
      <c r="G1240" s="13"/>
    </row>
    <row r="1241" spans="2:7" ht="12.75">
      <c r="B1241" s="5"/>
      <c r="C1241" s="34" t="s">
        <v>42</v>
      </c>
      <c r="D1241" s="35">
        <v>13462.86</v>
      </c>
      <c r="E1241" s="13"/>
      <c r="F1241" s="13"/>
      <c r="G1241" s="13"/>
    </row>
    <row r="1242" spans="2:7" ht="12.75">
      <c r="B1242" s="5"/>
      <c r="C1242" s="23" t="s">
        <v>43</v>
      </c>
      <c r="D1242" s="35">
        <v>10158.68</v>
      </c>
      <c r="E1242" s="13"/>
      <c r="F1242" s="13"/>
      <c r="G1242" s="13"/>
    </row>
    <row r="1243" spans="2:7" ht="12.75">
      <c r="B1243" s="5"/>
      <c r="C1243" s="36" t="s">
        <v>13</v>
      </c>
      <c r="D1243" s="33">
        <f>D1242-D1241</f>
        <v>-3304.1800000000003</v>
      </c>
      <c r="E1243" s="13"/>
      <c r="F1243" s="13"/>
      <c r="G1243" s="13"/>
    </row>
    <row r="1244" spans="2:7" ht="12.75">
      <c r="B1244" s="5"/>
      <c r="C1244" s="36"/>
      <c r="D1244" s="33"/>
      <c r="E1244" s="13"/>
      <c r="F1244" s="13"/>
      <c r="G1244" s="13"/>
    </row>
    <row r="1245" spans="2:7" ht="12.75">
      <c r="B1245" s="5"/>
      <c r="C1245" s="14" t="s">
        <v>44</v>
      </c>
      <c r="D1245" s="33"/>
      <c r="E1245" s="13"/>
      <c r="F1245" s="37">
        <v>10.43</v>
      </c>
      <c r="G1245" s="13"/>
    </row>
    <row r="1246" spans="2:7" ht="12.75">
      <c r="B1246" s="5"/>
      <c r="C1246" s="14"/>
      <c r="D1246" s="33"/>
      <c r="E1246" s="13"/>
      <c r="F1246" s="37"/>
      <c r="G1246" s="13"/>
    </row>
    <row r="1247" spans="2:7" ht="12.75">
      <c r="B1247" s="23"/>
      <c r="C1247" s="14" t="s">
        <v>38</v>
      </c>
      <c r="D1247" s="25"/>
      <c r="E1247" s="25"/>
      <c r="F1247" s="37">
        <v>32.8</v>
      </c>
      <c r="G1247" s="23"/>
    </row>
    <row r="1248" spans="2:7" ht="12.75">
      <c r="B1248" s="23" t="s">
        <v>39</v>
      </c>
      <c r="C1248" s="23"/>
      <c r="D1248" s="23"/>
      <c r="E1248" s="23"/>
      <c r="F1248" s="23"/>
      <c r="G1248" s="23"/>
    </row>
    <row r="1250" spans="2:7" ht="12.75">
      <c r="B1250" s="1" t="s">
        <v>0</v>
      </c>
      <c r="C1250" s="1"/>
      <c r="D1250" s="1"/>
      <c r="E1250" s="1"/>
      <c r="F1250" s="1"/>
      <c r="G1250" s="1"/>
    </row>
    <row r="1251" spans="2:7" ht="12.75">
      <c r="B1251" s="1" t="s">
        <v>51</v>
      </c>
      <c r="C1251" s="1"/>
      <c r="D1251" s="1"/>
      <c r="E1251" s="1"/>
      <c r="F1251" s="1"/>
      <c r="G1251" s="1"/>
    </row>
    <row r="1252" spans="2:7" ht="12.75">
      <c r="B1252" s="1" t="s">
        <v>102</v>
      </c>
      <c r="C1252" s="1"/>
      <c r="D1252" s="1"/>
      <c r="E1252" s="1"/>
      <c r="F1252" s="1"/>
      <c r="G1252" s="1"/>
    </row>
    <row r="1253" spans="2:7" ht="12.75" customHeight="1">
      <c r="B1253" s="2"/>
      <c r="C1253" s="2" t="s">
        <v>3</v>
      </c>
      <c r="D1253" s="3" t="s">
        <v>41</v>
      </c>
      <c r="E1253" s="3"/>
      <c r="F1253" s="4" t="s">
        <v>5</v>
      </c>
      <c r="G1253" s="4"/>
    </row>
    <row r="1254" spans="2:7" ht="12.75">
      <c r="B1254" s="2"/>
      <c r="C1254" s="2"/>
      <c r="D1254" s="3" t="s">
        <v>6</v>
      </c>
      <c r="E1254" s="3" t="s">
        <v>7</v>
      </c>
      <c r="F1254" s="3" t="s">
        <v>6</v>
      </c>
      <c r="G1254" s="3" t="s">
        <v>8</v>
      </c>
    </row>
    <row r="1255" spans="2:7" ht="12.75">
      <c r="B1255" s="5">
        <v>1</v>
      </c>
      <c r="C1255" s="6" t="s">
        <v>9</v>
      </c>
      <c r="D1255" s="1">
        <v>3689.2</v>
      </c>
      <c r="E1255" s="1"/>
      <c r="F1255" s="1">
        <v>3689.2</v>
      </c>
      <c r="G1255" s="1"/>
    </row>
    <row r="1256" spans="2:7" ht="12.75">
      <c r="B1256" s="5"/>
      <c r="C1256" s="7" t="s">
        <v>55</v>
      </c>
      <c r="D1256" s="1"/>
      <c r="E1256" s="1"/>
      <c r="F1256" s="1"/>
      <c r="G1256" s="1"/>
    </row>
    <row r="1257" spans="2:7" ht="12.75">
      <c r="B1257" s="5"/>
      <c r="C1257" s="20" t="s">
        <v>56</v>
      </c>
      <c r="D1257" s="9"/>
      <c r="E1257" s="9"/>
      <c r="F1257" s="9">
        <v>807367.67</v>
      </c>
      <c r="G1257" s="9"/>
    </row>
    <row r="1258" spans="2:7" ht="12.75">
      <c r="B1258" s="5"/>
      <c r="C1258" s="34" t="s">
        <v>57</v>
      </c>
      <c r="D1258" s="9"/>
      <c r="E1258" s="9"/>
      <c r="F1258" s="9">
        <v>760274.29</v>
      </c>
      <c r="G1258" s="9"/>
    </row>
    <row r="1259" spans="2:7" ht="12.75">
      <c r="B1259" s="5"/>
      <c r="C1259" s="2" t="s">
        <v>13</v>
      </c>
      <c r="D1259" s="9"/>
      <c r="E1259" s="9"/>
      <c r="F1259" s="9">
        <f>F1258-F1257</f>
        <v>-47093.380000000005</v>
      </c>
      <c r="G1259" s="9"/>
    </row>
    <row r="1260" spans="2:7" ht="12.75">
      <c r="B1260" s="5">
        <v>3</v>
      </c>
      <c r="C1260" s="10" t="s">
        <v>14</v>
      </c>
      <c r="D1260" s="1" t="s">
        <v>15</v>
      </c>
      <c r="E1260" s="1"/>
      <c r="F1260" s="1" t="s">
        <v>15</v>
      </c>
      <c r="G1260" s="1"/>
    </row>
    <row r="1261" spans="2:7" ht="12.75">
      <c r="B1261" s="11" t="s">
        <v>16</v>
      </c>
      <c r="C1261" s="11"/>
      <c r="D1261" s="13">
        <v>115.36</v>
      </c>
      <c r="E1261" s="13">
        <f>D1261/D1255/12*1000</f>
        <v>2.6058043297553217</v>
      </c>
      <c r="F1261" s="13">
        <v>109</v>
      </c>
      <c r="G1261" s="13">
        <f>F1261/3689.2/12*1000</f>
        <v>2.4621417470815716</v>
      </c>
    </row>
    <row r="1262" spans="2:7" ht="12.75" customHeight="1">
      <c r="B1262" s="14" t="s">
        <v>17</v>
      </c>
      <c r="C1262" s="14"/>
      <c r="D1262" s="1">
        <f>D1263+D1264+D1265</f>
        <v>222.1</v>
      </c>
      <c r="E1262" s="13">
        <f>D1262/3689.2/12*1000</f>
        <v>5.016896165383643</v>
      </c>
      <c r="F1262" s="1">
        <f>F1263+F1264+F1265</f>
        <v>260.68</v>
      </c>
      <c r="G1262" s="13">
        <f>F1262/3689.2/12*1000</f>
        <v>5.888358813112148</v>
      </c>
    </row>
    <row r="1263" spans="2:7" ht="12.75">
      <c r="B1263" s="2"/>
      <c r="C1263" s="15" t="s">
        <v>18</v>
      </c>
      <c r="D1263" s="9">
        <v>192.6</v>
      </c>
      <c r="E1263" s="13">
        <v>4.2</v>
      </c>
      <c r="F1263" s="9">
        <f>70.8+3.38+118.5</f>
        <v>192.68</v>
      </c>
      <c r="G1263" s="13">
        <f>F1263/3689.2/12*1000</f>
        <v>4.3523437782355705</v>
      </c>
    </row>
    <row r="1264" spans="2:7" ht="12.75">
      <c r="B1264" s="2"/>
      <c r="C1264" s="15" t="s">
        <v>19</v>
      </c>
      <c r="D1264" s="18">
        <v>29.5</v>
      </c>
      <c r="E1264" s="13">
        <f>D1264/3689.2/12*1000</f>
        <v>0.6663594636596915</v>
      </c>
      <c r="F1264" s="45">
        <v>44.2</v>
      </c>
      <c r="G1264" s="13">
        <f>F1264/3689.2/12*1000</f>
        <v>0.9984097726697749</v>
      </c>
    </row>
    <row r="1265" spans="2:7" ht="12.75">
      <c r="B1265" s="32" t="s">
        <v>20</v>
      </c>
      <c r="C1265" s="32"/>
      <c r="D1265" s="18">
        <v>0</v>
      </c>
      <c r="E1265" s="13">
        <f>D1265/3689.2/12*1000</f>
        <v>0</v>
      </c>
      <c r="F1265" s="18">
        <v>23.8</v>
      </c>
      <c r="G1265" s="13">
        <f>F1265/3689.2/12*1000</f>
        <v>0.5376052622068018</v>
      </c>
    </row>
    <row r="1266" spans="2:7" ht="12.75" customHeight="1">
      <c r="B1266" s="19" t="s">
        <v>21</v>
      </c>
      <c r="C1266" s="19"/>
      <c r="D1266" s="13">
        <f>D1267+D1269+D1268</f>
        <v>276.688368</v>
      </c>
      <c r="E1266" s="13">
        <f>D1266/3689.2/12*1000</f>
        <v>6.249963135639164</v>
      </c>
      <c r="F1266" s="13">
        <f>F1267+F1269+F1268</f>
        <v>265.62</v>
      </c>
      <c r="G1266" s="13">
        <f>F1266/3689.2/12*1000</f>
        <v>5.999945787704652</v>
      </c>
    </row>
    <row r="1267" spans="2:7" ht="12.75">
      <c r="B1267" s="2"/>
      <c r="C1267" s="15" t="s">
        <v>22</v>
      </c>
      <c r="D1267" s="9">
        <f>E1267*D1255*12/1000</f>
        <v>231.976896</v>
      </c>
      <c r="E1267" s="13">
        <v>5.24</v>
      </c>
      <c r="F1267" s="8">
        <f>165.4+50.4+7.2+22.3+3+2.8+0.45+0.95+0.38+2.6</f>
        <v>255.48</v>
      </c>
      <c r="G1267" s="13">
        <f>F1267/3689.2/12*1000</f>
        <v>5.770898839856879</v>
      </c>
    </row>
    <row r="1268" spans="2:7" ht="12.75">
      <c r="B1268" s="2"/>
      <c r="C1268" s="15" t="s">
        <v>23</v>
      </c>
      <c r="D1268" s="9">
        <f>E1268*D1255*12/1000</f>
        <v>41.171472</v>
      </c>
      <c r="E1268" s="13">
        <v>0.93</v>
      </c>
      <c r="F1268" s="9">
        <v>8.2</v>
      </c>
      <c r="G1268" s="13">
        <f>F1268/3689.2/12*1000</f>
        <v>0.18522534244099895</v>
      </c>
    </row>
    <row r="1269" spans="2:7" ht="12.75">
      <c r="B1269" s="2"/>
      <c r="C1269" s="20" t="s">
        <v>24</v>
      </c>
      <c r="D1269" s="9">
        <v>3.54</v>
      </c>
      <c r="E1269" s="13">
        <f>D1269/3689.2/12*1000</f>
        <v>0.07996313563916296</v>
      </c>
      <c r="F1269" s="9">
        <v>1.94</v>
      </c>
      <c r="G1269" s="13">
        <f>F1269/3689.2/12*1000</f>
        <v>0.04382160540677292</v>
      </c>
    </row>
    <row r="1270" spans="2:7" ht="12.75">
      <c r="B1270" s="11" t="s">
        <v>25</v>
      </c>
      <c r="C1270" s="11"/>
      <c r="D1270" s="13">
        <f>E1270*D1255*12/1000</f>
        <v>26.119535999999997</v>
      </c>
      <c r="E1270" s="13">
        <v>0.59</v>
      </c>
      <c r="F1270" s="13">
        <v>22.74</v>
      </c>
      <c r="G1270" s="13">
        <f>F1270/3689.2/12*1000</f>
        <v>0.5136614984278435</v>
      </c>
    </row>
    <row r="1271" spans="2:7" ht="12.75">
      <c r="B1271" s="21" t="s">
        <v>26</v>
      </c>
      <c r="C1271" s="21"/>
      <c r="D1271" s="13">
        <f>E1271*D1255*12/1000</f>
        <v>136.795536</v>
      </c>
      <c r="E1271" s="13">
        <v>3.09</v>
      </c>
      <c r="F1271" s="12">
        <f>24.78+113.75</f>
        <v>138.53</v>
      </c>
      <c r="G1271" s="13">
        <f>F1271/3689.2/12*1000</f>
        <v>3.12917886443312</v>
      </c>
    </row>
    <row r="1272" spans="2:7" ht="12.75">
      <c r="B1272" s="2"/>
      <c r="C1272" s="10" t="s">
        <v>28</v>
      </c>
      <c r="D1272" s="12">
        <f>D1261+D1262+D1266+D1270+D1271</f>
        <v>777.06344</v>
      </c>
      <c r="E1272" s="13">
        <f>E1261+E1262+E1266+E1270+E1271</f>
        <v>17.552663630778127</v>
      </c>
      <c r="F1272" s="12">
        <f>F1261+F1262+F1266+F1270+F1271</f>
        <v>796.5699999999999</v>
      </c>
      <c r="G1272" s="13">
        <f>G1261+G1262+G1266+G1270+G1271</f>
        <v>17.993286710759335</v>
      </c>
    </row>
    <row r="1273" spans="2:7" ht="12.75">
      <c r="B1273" s="2">
        <v>4</v>
      </c>
      <c r="C1273" s="10" t="s">
        <v>29</v>
      </c>
      <c r="D1273" s="13">
        <v>77.7</v>
      </c>
      <c r="E1273" s="13">
        <v>1.75</v>
      </c>
      <c r="F1273" s="12"/>
      <c r="G1273" s="12"/>
    </row>
    <row r="1274" spans="2:7" ht="12.75">
      <c r="B1274" s="5">
        <v>5</v>
      </c>
      <c r="C1274" s="10" t="s">
        <v>13</v>
      </c>
      <c r="D1274" s="13">
        <f>D1272+D1273</f>
        <v>854.7634400000001</v>
      </c>
      <c r="E1274" s="13">
        <f>E1272+E1273</f>
        <v>19.302663630778127</v>
      </c>
      <c r="F1274" s="13">
        <f>F1272-F1258/1000</f>
        <v>36.29570999999987</v>
      </c>
      <c r="G1274" s="13"/>
    </row>
    <row r="1275" spans="2:7" ht="12.75">
      <c r="B1275" s="5"/>
      <c r="C1275" s="10"/>
      <c r="D1275" s="13"/>
      <c r="E1275" s="13"/>
      <c r="F1275" s="13"/>
      <c r="G1275" s="13"/>
    </row>
    <row r="1276" spans="2:7" ht="12.75">
      <c r="B1276" s="5"/>
      <c r="C1276" s="10" t="s">
        <v>30</v>
      </c>
      <c r="D1276" s="37" t="s">
        <v>6</v>
      </c>
      <c r="E1276" s="13"/>
      <c r="F1276" s="13"/>
      <c r="G1276" s="13"/>
    </row>
    <row r="1277" spans="2:7" ht="12.75">
      <c r="B1277" s="5"/>
      <c r="C1277" s="34" t="s">
        <v>42</v>
      </c>
      <c r="D1277" s="35">
        <v>3834.58</v>
      </c>
      <c r="E1277" s="13"/>
      <c r="F1277" s="13"/>
      <c r="G1277" s="13"/>
    </row>
    <row r="1278" spans="2:7" ht="12.75">
      <c r="B1278" s="5"/>
      <c r="C1278" s="23" t="s">
        <v>43</v>
      </c>
      <c r="D1278" s="35">
        <v>3147.91</v>
      </c>
      <c r="E1278" s="13"/>
      <c r="F1278" s="13"/>
      <c r="G1278" s="13"/>
    </row>
    <row r="1279" spans="2:7" ht="12.75">
      <c r="B1279" s="5"/>
      <c r="C1279" s="36" t="s">
        <v>13</v>
      </c>
      <c r="D1279" s="33">
        <f>D1278-D1277</f>
        <v>-686.6700000000001</v>
      </c>
      <c r="E1279" s="13"/>
      <c r="F1279" s="13"/>
      <c r="G1279" s="13"/>
    </row>
    <row r="1280" spans="2:7" ht="12.75">
      <c r="B1280" s="5"/>
      <c r="C1280" s="36"/>
      <c r="D1280" s="33"/>
      <c r="E1280" s="13"/>
      <c r="F1280" s="13"/>
      <c r="G1280" s="13"/>
    </row>
    <row r="1281" spans="2:7" ht="12.75">
      <c r="B1281" s="5"/>
      <c r="C1281" s="14" t="s">
        <v>44</v>
      </c>
      <c r="D1281" s="33"/>
      <c r="E1281" s="13"/>
      <c r="F1281" s="37">
        <v>36.99</v>
      </c>
      <c r="G1281" s="13"/>
    </row>
    <row r="1282" spans="2:7" ht="12.75">
      <c r="B1282" s="23"/>
      <c r="C1282" s="14" t="s">
        <v>38</v>
      </c>
      <c r="D1282" s="25"/>
      <c r="E1282" s="25"/>
      <c r="F1282" s="37">
        <v>135.2</v>
      </c>
      <c r="G1282" s="23"/>
    </row>
    <row r="1283" spans="2:7" ht="12.75">
      <c r="B1283" s="23" t="s">
        <v>39</v>
      </c>
      <c r="C1283" s="23"/>
      <c r="D1283" s="23"/>
      <c r="E1283" s="23"/>
      <c r="F1283" s="23"/>
      <c r="G1283" s="23"/>
    </row>
    <row r="1285" spans="2:7" ht="12.75">
      <c r="B1285" s="1" t="s">
        <v>0</v>
      </c>
      <c r="C1285" s="1"/>
      <c r="D1285" s="1"/>
      <c r="E1285" s="1"/>
      <c r="F1285" s="1"/>
      <c r="G1285" s="1"/>
    </row>
    <row r="1286" spans="2:7" ht="12.75">
      <c r="B1286" s="1" t="s">
        <v>103</v>
      </c>
      <c r="C1286" s="1"/>
      <c r="D1286" s="1"/>
      <c r="E1286" s="1"/>
      <c r="F1286" s="1"/>
      <c r="G1286" s="1"/>
    </row>
    <row r="1287" spans="2:7" ht="12.75">
      <c r="B1287" s="1" t="s">
        <v>104</v>
      </c>
      <c r="C1287" s="1"/>
      <c r="D1287" s="1"/>
      <c r="E1287" s="1"/>
      <c r="F1287" s="1"/>
      <c r="G1287" s="1"/>
    </row>
    <row r="1288" spans="2:7" ht="12.75" customHeight="1">
      <c r="B1288" s="2"/>
      <c r="C1288" s="2" t="s">
        <v>3</v>
      </c>
      <c r="D1288" s="3" t="s">
        <v>105</v>
      </c>
      <c r="E1288" s="3"/>
      <c r="F1288" s="4" t="s">
        <v>106</v>
      </c>
      <c r="G1288" s="4"/>
    </row>
    <row r="1289" spans="2:7" ht="12.75">
      <c r="B1289" s="2"/>
      <c r="C1289" s="2"/>
      <c r="D1289" s="3" t="s">
        <v>6</v>
      </c>
      <c r="E1289" s="3" t="s">
        <v>7</v>
      </c>
      <c r="F1289" s="3" t="s">
        <v>6</v>
      </c>
      <c r="G1289" s="3" t="s">
        <v>8</v>
      </c>
    </row>
    <row r="1290" spans="2:7" ht="12.75">
      <c r="B1290" s="5">
        <v>1</v>
      </c>
      <c r="C1290" s="6" t="s">
        <v>9</v>
      </c>
      <c r="D1290" s="1">
        <v>1287.2</v>
      </c>
      <c r="E1290" s="1"/>
      <c r="F1290" s="1">
        <v>1287.2</v>
      </c>
      <c r="G1290" s="1"/>
    </row>
    <row r="1291" spans="2:7" ht="12.75">
      <c r="B1291" s="5">
        <v>2</v>
      </c>
      <c r="C1291" s="7" t="s">
        <v>64</v>
      </c>
      <c r="D1291" s="8"/>
      <c r="E1291" s="8"/>
      <c r="F1291" s="8" t="s">
        <v>3</v>
      </c>
      <c r="G1291" s="8"/>
    </row>
    <row r="1292" spans="2:7" ht="12.75">
      <c r="B1292" s="5"/>
      <c r="C1292" s="2" t="s">
        <v>49</v>
      </c>
      <c r="D1292" s="9"/>
      <c r="E1292" s="9"/>
      <c r="F1292" s="9">
        <v>137276.04</v>
      </c>
      <c r="G1292" s="9"/>
    </row>
    <row r="1293" spans="2:7" ht="12.75">
      <c r="B1293" s="5"/>
      <c r="C1293" s="2" t="s">
        <v>50</v>
      </c>
      <c r="D1293" s="9"/>
      <c r="E1293" s="9"/>
      <c r="F1293" s="9">
        <v>165152.17</v>
      </c>
      <c r="G1293" s="9"/>
    </row>
    <row r="1294" spans="2:7" ht="12.75">
      <c r="B1294" s="5"/>
      <c r="C1294" s="2" t="s">
        <v>13</v>
      </c>
      <c r="D1294" s="9"/>
      <c r="E1294" s="9"/>
      <c r="F1294" s="9">
        <f>F1293-F1292</f>
        <v>27876.130000000005</v>
      </c>
      <c r="G1294" s="9"/>
    </row>
    <row r="1295" spans="2:7" ht="12.75">
      <c r="B1295" s="5">
        <v>3</v>
      </c>
      <c r="C1295" s="10" t="s">
        <v>14</v>
      </c>
      <c r="D1295" s="1" t="s">
        <v>15</v>
      </c>
      <c r="E1295" s="1"/>
      <c r="F1295" s="1" t="s">
        <v>15</v>
      </c>
      <c r="G1295" s="1"/>
    </row>
    <row r="1296" spans="2:7" ht="12.75">
      <c r="B1296" s="11" t="s">
        <v>16</v>
      </c>
      <c r="C1296" s="11"/>
      <c r="D1296" s="13">
        <v>38.5</v>
      </c>
      <c r="E1296" s="13">
        <f>D1296/1287.2/12*1000</f>
        <v>2.4924901595193703</v>
      </c>
      <c r="F1296" s="13">
        <v>18.53</v>
      </c>
      <c r="G1296" s="13">
        <f>F1296/1287.2/6*1000</f>
        <v>2.399264553552931</v>
      </c>
    </row>
    <row r="1297" spans="2:7" ht="12.75" customHeight="1">
      <c r="B1297" s="14" t="s">
        <v>17</v>
      </c>
      <c r="C1297" s="14"/>
      <c r="D1297" s="1">
        <f>D1298+D1299+D1300</f>
        <v>83.3</v>
      </c>
      <c r="E1297" s="13">
        <f>D1297/1287.2/12*1000</f>
        <v>5.39284234514191</v>
      </c>
      <c r="F1297" s="1">
        <f>F1298+F1299+F1300</f>
        <v>47</v>
      </c>
      <c r="G1297" s="13">
        <f>F1297/1287.2/6*1000</f>
        <v>6.085560389475865</v>
      </c>
    </row>
    <row r="1298" spans="2:7" ht="12.75">
      <c r="B1298" s="2"/>
      <c r="C1298" s="15" t="s">
        <v>18</v>
      </c>
      <c r="D1298" s="9">
        <v>59.8</v>
      </c>
      <c r="E1298" s="13">
        <f>D1298/1287.2/12*1000</f>
        <v>3.8714522477729436</v>
      </c>
      <c r="F1298" s="9">
        <v>29.1</v>
      </c>
      <c r="G1298" s="13">
        <f>F1298/1287.2/6*1000</f>
        <v>3.7678682411435673</v>
      </c>
    </row>
    <row r="1299" spans="2:7" ht="12.75">
      <c r="B1299" s="2"/>
      <c r="C1299" s="15" t="s">
        <v>19</v>
      </c>
      <c r="D1299" s="17">
        <v>23.5</v>
      </c>
      <c r="E1299" s="13">
        <f>D1299/1287.2/12*1000</f>
        <v>1.5213900973689662</v>
      </c>
      <c r="F1299" s="45">
        <v>17.9</v>
      </c>
      <c r="G1299" s="13">
        <f>F1299/1287.2/6*1000</f>
        <v>2.317692148332297</v>
      </c>
    </row>
    <row r="1300" spans="2:7" ht="12.75">
      <c r="B1300" s="32" t="s">
        <v>20</v>
      </c>
      <c r="C1300" s="32"/>
      <c r="D1300" s="18">
        <v>0</v>
      </c>
      <c r="E1300" s="13">
        <f>D1300/1287.2/12*1000</f>
        <v>0</v>
      </c>
      <c r="F1300" s="18">
        <v>0</v>
      </c>
      <c r="G1300" s="13">
        <f>F1300/1287.2/6*1000</f>
        <v>0</v>
      </c>
    </row>
    <row r="1301" spans="2:7" ht="12.75" customHeight="1">
      <c r="B1301" s="19" t="s">
        <v>21</v>
      </c>
      <c r="C1301" s="19"/>
      <c r="D1301" s="13">
        <f>D1302+D1304+D1303</f>
        <v>86.33999999999999</v>
      </c>
      <c r="E1301" s="13">
        <f>D1301/1287.2/12*1000</f>
        <v>5.589651957737725</v>
      </c>
      <c r="F1301" s="13">
        <f>F1302+F1304+F1303</f>
        <v>47.900000000000006</v>
      </c>
      <c r="G1301" s="13">
        <f>F1301/1287.2/6*1000</f>
        <v>6.202092396933915</v>
      </c>
    </row>
    <row r="1302" spans="2:7" ht="12.75">
      <c r="B1302" s="2"/>
      <c r="C1302" s="15" t="s">
        <v>22</v>
      </c>
      <c r="D1302" s="9">
        <v>72</v>
      </c>
      <c r="E1302" s="13">
        <f>D1302/1287.2/12*1000</f>
        <v>4.661280298321939</v>
      </c>
      <c r="F1302" s="8">
        <f>3.2+27.9+6.3+1.87+3.49+0.1+0.84</f>
        <v>43.7</v>
      </c>
      <c r="G1302" s="13">
        <f>F1302/1287.2/6*1000</f>
        <v>5.658276362129688</v>
      </c>
    </row>
    <row r="1303" spans="2:7" ht="12.75">
      <c r="B1303" s="2"/>
      <c r="C1303" s="15" t="s">
        <v>23</v>
      </c>
      <c r="D1303" s="9">
        <v>13.1</v>
      </c>
      <c r="E1303" s="13">
        <f>D1303/1287.2/12*1000</f>
        <v>0.8480940542780194</v>
      </c>
      <c r="F1303" s="9">
        <v>4.2</v>
      </c>
      <c r="G1303" s="13">
        <f>F1303/1287.2/6*1000</f>
        <v>0.5438160348042262</v>
      </c>
    </row>
    <row r="1304" spans="2:7" ht="12.75">
      <c r="B1304" s="2"/>
      <c r="C1304" s="20" t="s">
        <v>24</v>
      </c>
      <c r="D1304" s="9">
        <v>1.24</v>
      </c>
      <c r="E1304" s="13">
        <f>D1304/1287.2/12*1000</f>
        <v>0.08027760513776672</v>
      </c>
      <c r="F1304" s="9">
        <v>0</v>
      </c>
      <c r="G1304" s="13">
        <f>F1304/1287.2/6*1000</f>
        <v>0</v>
      </c>
    </row>
    <row r="1305" spans="2:7" ht="12.75">
      <c r="B1305" s="11" t="s">
        <v>25</v>
      </c>
      <c r="C1305" s="11"/>
      <c r="D1305" s="13">
        <v>8.5</v>
      </c>
      <c r="E1305" s="13">
        <f>D1305/1287.2/12*1000</f>
        <v>0.5502900352185622</v>
      </c>
      <c r="F1305" s="13">
        <v>4.95</v>
      </c>
      <c r="G1305" s="13">
        <f>F1305/1287.2/6*1000</f>
        <v>0.6409260410192666</v>
      </c>
    </row>
    <row r="1306" spans="2:7" ht="12.75">
      <c r="B1306" s="21" t="s">
        <v>26</v>
      </c>
      <c r="C1306" s="21"/>
      <c r="D1306" s="13">
        <v>42.3</v>
      </c>
      <c r="E1306" s="13">
        <f>D1306/1287.2/12*1000</f>
        <v>2.738502175264139</v>
      </c>
      <c r="F1306" s="1">
        <f>4.1+0.1+17.3</f>
        <v>21.5</v>
      </c>
      <c r="G1306" s="13">
        <f>F1306/1287.2/6*1000</f>
        <v>2.783820178164491</v>
      </c>
    </row>
    <row r="1307" spans="2:7" ht="12.75">
      <c r="B1307" s="2"/>
      <c r="C1307" s="10" t="s">
        <v>28</v>
      </c>
      <c r="D1307" s="12">
        <f>D1296+D1297+D1301+D1305+D1306</f>
        <v>258.94</v>
      </c>
      <c r="E1307" s="12">
        <f>E1296+E1297+E1301+E1305+E1306</f>
        <v>16.763776672881704</v>
      </c>
      <c r="F1307" s="13">
        <f>F1296+F1297+F1301+F1305+F1306</f>
        <v>139.88</v>
      </c>
      <c r="G1307" s="13">
        <f>G1296+G1297+G1301+G1305+G1306</f>
        <v>18.111663559146468</v>
      </c>
    </row>
    <row r="1308" spans="2:7" ht="12.75">
      <c r="B1308" s="2">
        <v>4</v>
      </c>
      <c r="C1308" s="10" t="s">
        <v>29</v>
      </c>
      <c r="D1308" s="13">
        <v>25.9</v>
      </c>
      <c r="E1308" s="13">
        <v>1.6800000000000002</v>
      </c>
      <c r="F1308" s="12"/>
      <c r="G1308" s="12"/>
    </row>
    <row r="1309" spans="2:7" ht="12.75">
      <c r="B1309" s="5">
        <v>5</v>
      </c>
      <c r="C1309" s="10" t="s">
        <v>13</v>
      </c>
      <c r="D1309" s="13">
        <f>D1307+D1308</f>
        <v>284.84</v>
      </c>
      <c r="E1309" s="13">
        <f>E1307+E1308</f>
        <v>18.443776672881704</v>
      </c>
      <c r="F1309" s="13">
        <f>F1307-F1293/1000</f>
        <v>-25.272170000000017</v>
      </c>
      <c r="G1309" s="13"/>
    </row>
    <row r="1310" spans="2:7" ht="12.75">
      <c r="B1310" s="23"/>
      <c r="C1310" s="23"/>
      <c r="D1310" s="25"/>
      <c r="E1310" s="25"/>
      <c r="F1310" s="23"/>
      <c r="G1310" s="23"/>
    </row>
    <row r="1311" spans="2:7" ht="12.75">
      <c r="B1311" s="23"/>
      <c r="C1311" s="14" t="s">
        <v>107</v>
      </c>
      <c r="D1311" s="25"/>
      <c r="E1311" s="25"/>
      <c r="F1311" s="5">
        <v>94.03</v>
      </c>
      <c r="G1311" s="23"/>
    </row>
    <row r="1312" spans="2:7" ht="12.75">
      <c r="B1312" s="23" t="s">
        <v>39</v>
      </c>
      <c r="C1312" s="23"/>
      <c r="D1312" s="23"/>
      <c r="E1312" s="23"/>
      <c r="F1312" s="23"/>
      <c r="G1312" s="23"/>
    </row>
    <row r="1314" spans="2:7" ht="12.75">
      <c r="B1314" s="1" t="s">
        <v>0</v>
      </c>
      <c r="C1314" s="1"/>
      <c r="D1314" s="1"/>
      <c r="E1314" s="1"/>
      <c r="F1314" s="1"/>
      <c r="G1314" s="1"/>
    </row>
    <row r="1315" spans="2:7" ht="12.75">
      <c r="B1315" s="1" t="s">
        <v>51</v>
      </c>
      <c r="C1315" s="1"/>
      <c r="D1315" s="1"/>
      <c r="E1315" s="1"/>
      <c r="F1315" s="1"/>
      <c r="G1315" s="1"/>
    </row>
    <row r="1316" spans="2:7" ht="12.75">
      <c r="B1316" s="1" t="s">
        <v>108</v>
      </c>
      <c r="C1316" s="1"/>
      <c r="D1316" s="1"/>
      <c r="E1316" s="1"/>
      <c r="F1316" s="1"/>
      <c r="G1316" s="1"/>
    </row>
    <row r="1317" spans="2:7" ht="12.75" customHeight="1">
      <c r="B1317" s="2"/>
      <c r="C1317" s="2" t="s">
        <v>3</v>
      </c>
      <c r="D1317" s="3" t="s">
        <v>41</v>
      </c>
      <c r="E1317" s="3"/>
      <c r="F1317" s="4" t="s">
        <v>109</v>
      </c>
      <c r="G1317" s="4"/>
    </row>
    <row r="1318" spans="2:7" ht="12.75">
      <c r="B1318" s="2"/>
      <c r="C1318" s="2"/>
      <c r="D1318" s="3" t="s">
        <v>6</v>
      </c>
      <c r="E1318" s="3" t="s">
        <v>7</v>
      </c>
      <c r="F1318" s="3" t="s">
        <v>6</v>
      </c>
      <c r="G1318" s="3" t="s">
        <v>8</v>
      </c>
    </row>
    <row r="1319" spans="2:7" ht="12.75">
      <c r="B1319" s="5">
        <v>1</v>
      </c>
      <c r="C1319" s="6" t="s">
        <v>9</v>
      </c>
      <c r="D1319" s="1">
        <v>8448.3</v>
      </c>
      <c r="E1319" s="1"/>
      <c r="F1319" s="1">
        <v>8448.3</v>
      </c>
      <c r="G1319" s="1"/>
    </row>
    <row r="1320" spans="2:7" ht="12.75">
      <c r="B1320" s="5">
        <v>2</v>
      </c>
      <c r="C1320" s="7" t="s">
        <v>55</v>
      </c>
      <c r="D1320" s="8"/>
      <c r="E1320" s="8"/>
      <c r="F1320" s="8" t="s">
        <v>3</v>
      </c>
      <c r="G1320" s="8"/>
    </row>
    <row r="1321" spans="2:7" ht="12.75">
      <c r="B1321" s="5"/>
      <c r="C1321" s="20" t="s">
        <v>56</v>
      </c>
      <c r="D1321" s="9"/>
      <c r="E1321" s="9"/>
      <c r="F1321" s="9">
        <v>1939269.43</v>
      </c>
      <c r="G1321" s="9"/>
    </row>
    <row r="1322" spans="2:7" ht="12.75">
      <c r="B1322" s="5"/>
      <c r="C1322" s="34" t="s">
        <v>57</v>
      </c>
      <c r="D1322" s="9"/>
      <c r="E1322" s="9"/>
      <c r="F1322" s="9">
        <v>1911279.73</v>
      </c>
      <c r="G1322" s="9"/>
    </row>
    <row r="1323" spans="2:7" ht="12.75">
      <c r="B1323" s="5"/>
      <c r="C1323" s="2" t="s">
        <v>13</v>
      </c>
      <c r="D1323" s="9"/>
      <c r="E1323" s="9"/>
      <c r="F1323" s="9">
        <f>F1322-F1321</f>
        <v>-27989.699999999953</v>
      </c>
      <c r="G1323" s="9"/>
    </row>
    <row r="1324" spans="2:7" ht="12.75">
      <c r="B1324" s="5">
        <v>3</v>
      </c>
      <c r="C1324" s="10" t="s">
        <v>14</v>
      </c>
      <c r="D1324" s="1" t="s">
        <v>15</v>
      </c>
      <c r="E1324" s="1"/>
      <c r="F1324" s="1" t="s">
        <v>15</v>
      </c>
      <c r="G1324" s="1"/>
    </row>
    <row r="1325" spans="2:7" ht="12.75">
      <c r="B1325" s="11" t="s">
        <v>16</v>
      </c>
      <c r="C1325" s="11"/>
      <c r="D1325" s="13">
        <v>257.67</v>
      </c>
      <c r="E1325" s="13">
        <f>D1325/8448.3/12*1000</f>
        <v>2.541635595326871</v>
      </c>
      <c r="F1325" s="13">
        <v>261.8</v>
      </c>
      <c r="G1325" s="13">
        <f>F1325/8448.3/12*1000</f>
        <v>2.5823735741707408</v>
      </c>
    </row>
    <row r="1326" spans="2:7" ht="12.75" customHeight="1">
      <c r="B1326" s="14" t="s">
        <v>17</v>
      </c>
      <c r="C1326" s="14"/>
      <c r="D1326" s="1">
        <f>D1327+D1328+D1329</f>
        <v>473.3</v>
      </c>
      <c r="E1326" s="13">
        <f>D1326/8448.3/12*1000</f>
        <v>4.668592103342291</v>
      </c>
      <c r="F1326" s="12">
        <f>F1327+F1328+F1329</f>
        <v>590.6299999999999</v>
      </c>
      <c r="G1326" s="13">
        <f>F1326/8448.3/12*1000</f>
        <v>5.825925531369229</v>
      </c>
    </row>
    <row r="1327" spans="2:7" ht="12.75">
      <c r="B1327" s="2"/>
      <c r="C1327" s="15" t="s">
        <v>18</v>
      </c>
      <c r="D1327" s="9">
        <v>441.3</v>
      </c>
      <c r="E1327" s="13">
        <f>D1327/8448.3/12*1000</f>
        <v>4.352946746682765</v>
      </c>
      <c r="F1327" s="9">
        <f>162.2+8.23+271.4</f>
        <v>441.8299999999999</v>
      </c>
      <c r="G1327" s="13">
        <f>F1327/8448.3/12*1000</f>
        <v>4.358174622902437</v>
      </c>
    </row>
    <row r="1328" spans="2:7" ht="12.75">
      <c r="B1328" s="2"/>
      <c r="C1328" s="15" t="s">
        <v>19</v>
      </c>
      <c r="D1328" s="18">
        <v>32</v>
      </c>
      <c r="E1328" s="13">
        <f>D1328/8448.3/12*1000</f>
        <v>0.31564535665952526</v>
      </c>
      <c r="F1328" s="45">
        <v>148.8</v>
      </c>
      <c r="G1328" s="13">
        <f>F1328/8448.3/12*1000</f>
        <v>1.4677509084667923</v>
      </c>
    </row>
    <row r="1329" spans="2:7" ht="12.75">
      <c r="B1329" s="32" t="s">
        <v>20</v>
      </c>
      <c r="C1329" s="32"/>
      <c r="D1329" s="18">
        <v>0</v>
      </c>
      <c r="E1329" s="13">
        <f>D1329/8448.3/12*1000</f>
        <v>0</v>
      </c>
      <c r="F1329" s="18">
        <v>0</v>
      </c>
      <c r="G1329" s="13">
        <f>F1329/8448.3/12*1000</f>
        <v>0</v>
      </c>
    </row>
    <row r="1330" spans="2:7" ht="12.75" customHeight="1">
      <c r="B1330" s="19" t="s">
        <v>21</v>
      </c>
      <c r="C1330" s="19"/>
      <c r="D1330" s="13">
        <f>D1331+D1333+D1332</f>
        <v>633.6</v>
      </c>
      <c r="E1330" s="13">
        <f>D1330/8448.3/12*1000</f>
        <v>6.249778061858599</v>
      </c>
      <c r="F1330" s="13">
        <f>F1331+F1333+F1332</f>
        <v>613.8799999999999</v>
      </c>
      <c r="G1330" s="13">
        <f>F1330/8448.3/12*1000</f>
        <v>6.055261610817166</v>
      </c>
    </row>
    <row r="1331" spans="2:7" ht="12.75">
      <c r="B1331" s="2"/>
      <c r="C1331" s="15" t="s">
        <v>22</v>
      </c>
      <c r="D1331" s="9">
        <v>531.2</v>
      </c>
      <c r="E1331" s="13">
        <f>D1331/8448.3/12*1000</f>
        <v>5.2397129205481185</v>
      </c>
      <c r="F1331" s="8">
        <f>378.8+115.54+16.57+51.1+6.88+1.4+8+8.36+0.86+5.93</f>
        <v>593.4399999999999</v>
      </c>
      <c r="G1331" s="13">
        <f>F1331/8448.3/12*1000</f>
        <v>5.853643139250894</v>
      </c>
    </row>
    <row r="1332" spans="2:7" ht="12.75">
      <c r="B1332" s="2"/>
      <c r="C1332" s="15" t="s">
        <v>23</v>
      </c>
      <c r="D1332" s="9">
        <v>94.3</v>
      </c>
      <c r="E1332" s="13">
        <f>D1332/8448.3/12*1000</f>
        <v>0.9301674104060385</v>
      </c>
      <c r="F1332" s="9">
        <v>5.04</v>
      </c>
      <c r="G1332" s="13">
        <f>F1332/8448.3/12*1000</f>
        <v>0.04971414367387522</v>
      </c>
    </row>
    <row r="1333" spans="2:7" ht="12.75">
      <c r="B1333" s="2"/>
      <c r="C1333" s="20" t="s">
        <v>24</v>
      </c>
      <c r="D1333" s="9">
        <v>8.1</v>
      </c>
      <c r="E1333" s="13">
        <f>D1333/8448.3/12*1000</f>
        <v>0.07989773090444231</v>
      </c>
      <c r="F1333" s="9">
        <v>15.4</v>
      </c>
      <c r="G1333" s="13">
        <f>F1333/8448.3/12*1000</f>
        <v>0.15190432789239652</v>
      </c>
    </row>
    <row r="1334" spans="2:7" ht="12.75">
      <c r="B1334" s="11" t="s">
        <v>25</v>
      </c>
      <c r="C1334" s="11"/>
      <c r="D1334" s="13">
        <v>57.2</v>
      </c>
      <c r="E1334" s="13">
        <f>D1334/8448.3/12*1000</f>
        <v>0.5642160750289014</v>
      </c>
      <c r="F1334" s="13">
        <v>57.2</v>
      </c>
      <c r="G1334" s="13">
        <f>F1334/8448.3/12*1000</f>
        <v>0.5642160750289014</v>
      </c>
    </row>
    <row r="1335" spans="2:7" ht="12.75">
      <c r="B1335" s="21" t="s">
        <v>26</v>
      </c>
      <c r="C1335" s="21"/>
      <c r="D1335" s="13">
        <v>313.26</v>
      </c>
      <c r="E1335" s="13">
        <f>D1335/8448.3/12*1000</f>
        <v>3.0899707633488394</v>
      </c>
      <c r="F1335" s="1">
        <f>56.77+260.55</f>
        <v>317.32</v>
      </c>
      <c r="G1335" s="13">
        <f>F1335/8448.3/12*1000</f>
        <v>3.1300182679750166</v>
      </c>
    </row>
    <row r="1336" spans="2:7" ht="12.75">
      <c r="B1336" s="2"/>
      <c r="C1336" s="10" t="s">
        <v>28</v>
      </c>
      <c r="D1336" s="12">
        <f>D1325+D1326+D1330+D1334+D1335</f>
        <v>1735.0300000000002</v>
      </c>
      <c r="E1336" s="12">
        <f>E1325+E1326+E1330+E1334+E1335</f>
        <v>17.114192598905504</v>
      </c>
      <c r="F1336" s="12">
        <f>F1325+F1326+F1330+F1334+F1335</f>
        <v>1840.8299999999997</v>
      </c>
      <c r="G1336" s="13">
        <f>G1325+G1326+G1330+G1334+G1335</f>
        <v>18.157795059361057</v>
      </c>
    </row>
    <row r="1337" spans="2:7" ht="12.75">
      <c r="B1337" s="2">
        <v>4</v>
      </c>
      <c r="C1337" s="10" t="s">
        <v>29</v>
      </c>
      <c r="D1337" s="13">
        <v>173.5</v>
      </c>
      <c r="E1337" s="13">
        <v>1.71</v>
      </c>
      <c r="F1337" s="12"/>
      <c r="G1337" s="12"/>
    </row>
    <row r="1338" spans="2:7" ht="12.75">
      <c r="B1338" s="5">
        <v>5</v>
      </c>
      <c r="C1338" s="10" t="s">
        <v>13</v>
      </c>
      <c r="D1338" s="13">
        <f>D1336+D1337</f>
        <v>1908.5300000000002</v>
      </c>
      <c r="E1338" s="13">
        <f>E1336+E1337</f>
        <v>18.824192598905505</v>
      </c>
      <c r="F1338" s="13">
        <f>F1336-F1322/1000</f>
        <v>-70.44973000000027</v>
      </c>
      <c r="G1338" s="13"/>
    </row>
    <row r="1339" spans="2:7" ht="12.75">
      <c r="B1339" s="5"/>
      <c r="C1339" s="10"/>
      <c r="D1339" s="13"/>
      <c r="E1339" s="13"/>
      <c r="F1339" s="13"/>
      <c r="G1339" s="13"/>
    </row>
    <row r="1340" spans="2:7" ht="12.75">
      <c r="B1340" s="11" t="s">
        <v>30</v>
      </c>
      <c r="C1340" s="11"/>
      <c r="D1340" s="33" t="s">
        <v>6</v>
      </c>
      <c r="E1340" s="25"/>
      <c r="F1340" s="25"/>
      <c r="G1340" s="13"/>
    </row>
    <row r="1341" spans="2:7" ht="12.75">
      <c r="B1341" s="25"/>
      <c r="C1341" s="34" t="s">
        <v>31</v>
      </c>
      <c r="D1341" s="35">
        <v>163728.34</v>
      </c>
      <c r="E1341" s="25"/>
      <c r="F1341" s="25"/>
      <c r="G1341" s="13"/>
    </row>
    <row r="1342" spans="2:7" ht="12.75">
      <c r="B1342" s="5"/>
      <c r="C1342" s="23" t="s">
        <v>32</v>
      </c>
      <c r="D1342" s="35">
        <v>147167.17</v>
      </c>
      <c r="E1342" s="25"/>
      <c r="F1342" s="25"/>
      <c r="G1342" s="13"/>
    </row>
    <row r="1343" spans="2:7" ht="12.75">
      <c r="B1343" s="5"/>
      <c r="C1343" s="36" t="s">
        <v>13</v>
      </c>
      <c r="D1343" s="33">
        <f>D1342-D1341</f>
        <v>-16561.169999999984</v>
      </c>
      <c r="E1343" s="25"/>
      <c r="F1343" s="25"/>
      <c r="G1343" s="13"/>
    </row>
    <row r="1344" spans="2:7" ht="12.75">
      <c r="B1344" s="5"/>
      <c r="C1344" s="34" t="s">
        <v>33</v>
      </c>
      <c r="D1344" s="35">
        <v>181385.7</v>
      </c>
      <c r="E1344" s="25"/>
      <c r="F1344" s="25"/>
      <c r="G1344" s="13"/>
    </row>
    <row r="1345" spans="2:7" ht="12.75">
      <c r="B1345" s="5"/>
      <c r="C1345" s="23" t="s">
        <v>34</v>
      </c>
      <c r="D1345" s="35">
        <v>163012.97</v>
      </c>
      <c r="E1345" s="25"/>
      <c r="F1345" s="25"/>
      <c r="G1345" s="13"/>
    </row>
    <row r="1346" spans="2:7" ht="12.75">
      <c r="B1346" s="5"/>
      <c r="C1346" s="36" t="s">
        <v>13</v>
      </c>
      <c r="D1346" s="33">
        <f>D1345-D1344</f>
        <v>-18372.73000000001</v>
      </c>
      <c r="E1346" s="25"/>
      <c r="F1346" s="25"/>
      <c r="G1346" s="13"/>
    </row>
    <row r="1347" spans="2:7" ht="12.75">
      <c r="B1347" s="5"/>
      <c r="C1347" s="34" t="s">
        <v>42</v>
      </c>
      <c r="D1347" s="35">
        <v>40551.96</v>
      </c>
      <c r="E1347" s="25"/>
      <c r="F1347" s="25"/>
      <c r="G1347" s="13"/>
    </row>
    <row r="1348" spans="2:7" ht="12.75">
      <c r="B1348" s="5"/>
      <c r="C1348" s="23" t="s">
        <v>43</v>
      </c>
      <c r="D1348" s="35">
        <v>32486.95</v>
      </c>
      <c r="E1348" s="25"/>
      <c r="F1348" s="25"/>
      <c r="G1348" s="13"/>
    </row>
    <row r="1349" spans="2:7" ht="12.75">
      <c r="B1349" s="5"/>
      <c r="C1349" s="36" t="s">
        <v>13</v>
      </c>
      <c r="D1349" s="33">
        <f>D1348-D1347</f>
        <v>-8065.009999999998</v>
      </c>
      <c r="E1349" s="25"/>
      <c r="F1349" s="25"/>
      <c r="G1349" s="13"/>
    </row>
    <row r="1350" spans="2:7" ht="12.75">
      <c r="B1350" s="5"/>
      <c r="C1350" s="36" t="s">
        <v>35</v>
      </c>
      <c r="D1350" s="50">
        <f>D1343+D1346+D1349</f>
        <v>-42998.90999999999</v>
      </c>
      <c r="E1350" s="25"/>
      <c r="F1350" s="25"/>
      <c r="G1350" s="13"/>
    </row>
    <row r="1351" spans="2:7" ht="12.75">
      <c r="B1351" s="11"/>
      <c r="C1351" s="14" t="s">
        <v>44</v>
      </c>
      <c r="D1351" s="33"/>
      <c r="E1351" s="25"/>
      <c r="F1351" s="46">
        <v>-27.45</v>
      </c>
      <c r="G1351" s="13"/>
    </row>
    <row r="1352" spans="2:7" ht="12.75">
      <c r="B1352" s="5"/>
      <c r="C1352" s="10"/>
      <c r="D1352" s="13"/>
      <c r="E1352" s="13"/>
      <c r="F1352" s="13"/>
      <c r="G1352" s="13"/>
    </row>
    <row r="1353" spans="2:7" ht="12.75">
      <c r="B1353" s="5"/>
      <c r="C1353" s="14" t="s">
        <v>38</v>
      </c>
      <c r="D1353" s="13"/>
      <c r="E1353" s="13"/>
      <c r="F1353" s="37">
        <v>680</v>
      </c>
      <c r="G1353" s="13"/>
    </row>
    <row r="1354" spans="2:7" ht="12.75">
      <c r="B1354" s="23" t="s">
        <v>39</v>
      </c>
      <c r="C1354" s="23"/>
      <c r="D1354" s="23"/>
      <c r="E1354" s="23"/>
      <c r="F1354" s="23"/>
      <c r="G1354" s="23"/>
    </row>
    <row r="1356" spans="2:7" ht="12.75">
      <c r="B1356" s="1" t="s">
        <v>0</v>
      </c>
      <c r="C1356" s="1"/>
      <c r="D1356" s="1"/>
      <c r="E1356" s="1"/>
      <c r="F1356" s="1"/>
      <c r="G1356" s="1"/>
    </row>
    <row r="1357" spans="2:7" ht="12.75">
      <c r="B1357" s="1" t="s">
        <v>51</v>
      </c>
      <c r="C1357" s="1"/>
      <c r="D1357" s="1"/>
      <c r="E1357" s="1"/>
      <c r="F1357" s="1"/>
      <c r="G1357" s="1"/>
    </row>
    <row r="1358" spans="2:7" ht="12.75">
      <c r="B1358" s="1" t="s">
        <v>110</v>
      </c>
      <c r="C1358" s="1"/>
      <c r="D1358" s="1"/>
      <c r="E1358" s="1"/>
      <c r="F1358" s="1"/>
      <c r="G1358" s="1"/>
    </row>
    <row r="1359" spans="2:7" ht="12.75" customHeight="1">
      <c r="B1359" s="2"/>
      <c r="C1359" s="2" t="s">
        <v>3</v>
      </c>
      <c r="D1359" s="3" t="s">
        <v>41</v>
      </c>
      <c r="E1359" s="3"/>
      <c r="F1359" s="4" t="s">
        <v>109</v>
      </c>
      <c r="G1359" s="4"/>
    </row>
    <row r="1360" spans="2:7" ht="12.75">
      <c r="B1360" s="2"/>
      <c r="C1360" s="2"/>
      <c r="D1360" s="3" t="s">
        <v>6</v>
      </c>
      <c r="E1360" s="3" t="s">
        <v>7</v>
      </c>
      <c r="F1360" s="3" t="s">
        <v>6</v>
      </c>
      <c r="G1360" s="3" t="s">
        <v>8</v>
      </c>
    </row>
    <row r="1361" spans="2:7" ht="12.75">
      <c r="B1361" s="5">
        <v>1</v>
      </c>
      <c r="C1361" s="6" t="s">
        <v>9</v>
      </c>
      <c r="D1361" s="1">
        <v>3003.3</v>
      </c>
      <c r="E1361" s="1"/>
      <c r="F1361" s="1">
        <v>3003.3</v>
      </c>
      <c r="G1361" s="1"/>
    </row>
    <row r="1362" spans="2:7" ht="12.75">
      <c r="B1362" s="5">
        <v>2</v>
      </c>
      <c r="C1362" s="7" t="s">
        <v>55</v>
      </c>
      <c r="D1362" s="8"/>
      <c r="E1362" s="8"/>
      <c r="F1362" s="8" t="s">
        <v>3</v>
      </c>
      <c r="G1362" s="8"/>
    </row>
    <row r="1363" spans="2:7" ht="12.75">
      <c r="B1363" s="5"/>
      <c r="C1363" s="20" t="s">
        <v>56</v>
      </c>
      <c r="D1363" s="9"/>
      <c r="E1363" s="9"/>
      <c r="F1363" s="9">
        <v>695955.78</v>
      </c>
      <c r="G1363" s="9"/>
    </row>
    <row r="1364" spans="2:7" ht="12.75">
      <c r="B1364" s="5"/>
      <c r="C1364" s="34" t="s">
        <v>57</v>
      </c>
      <c r="D1364" s="9"/>
      <c r="E1364" s="9"/>
      <c r="F1364" s="9">
        <v>693754.08</v>
      </c>
      <c r="G1364" s="9"/>
    </row>
    <row r="1365" spans="2:7" ht="12.75">
      <c r="B1365" s="5"/>
      <c r="C1365" s="2" t="s">
        <v>13</v>
      </c>
      <c r="D1365" s="9"/>
      <c r="E1365" s="9"/>
      <c r="F1365" s="9">
        <f>F1364-F1363</f>
        <v>-2201.70000000007</v>
      </c>
      <c r="G1365" s="9"/>
    </row>
    <row r="1366" spans="2:7" ht="12.75">
      <c r="B1366" s="5">
        <v>3</v>
      </c>
      <c r="C1366" s="10" t="s">
        <v>14</v>
      </c>
      <c r="D1366" s="1" t="s">
        <v>15</v>
      </c>
      <c r="E1366" s="1"/>
      <c r="F1366" s="1" t="s">
        <v>15</v>
      </c>
      <c r="G1366" s="1"/>
    </row>
    <row r="1367" spans="2:7" ht="12.75">
      <c r="B1367" s="11" t="s">
        <v>16</v>
      </c>
      <c r="C1367" s="11"/>
      <c r="D1367" s="13">
        <f>E1367*D1361*12/1000</f>
        <v>97.667316</v>
      </c>
      <c r="E1367" s="13">
        <v>2.71</v>
      </c>
      <c r="F1367" s="13">
        <v>93.95</v>
      </c>
      <c r="G1367" s="13">
        <f>F1367/3003.3/12*1000</f>
        <v>2.6068546820719427</v>
      </c>
    </row>
    <row r="1368" spans="2:7" ht="12.75" customHeight="1">
      <c r="B1368" s="14" t="s">
        <v>17</v>
      </c>
      <c r="C1368" s="14"/>
      <c r="D1368" s="1">
        <f>D1369+D1370+D1371</f>
        <v>202.4</v>
      </c>
      <c r="E1368" s="13">
        <f>D1368/3003/12*1000</f>
        <v>5.616605616605616</v>
      </c>
      <c r="F1368" s="12">
        <f>F1369+F1370+F1371</f>
        <v>374.73999999999995</v>
      </c>
      <c r="G1368" s="13">
        <f>F1368/3003.3/12*1000</f>
        <v>10.398006637143585</v>
      </c>
    </row>
    <row r="1369" spans="2:7" ht="12.75">
      <c r="B1369" s="2"/>
      <c r="C1369" s="15" t="s">
        <v>18</v>
      </c>
      <c r="D1369" s="9">
        <v>157</v>
      </c>
      <c r="E1369" s="13">
        <v>4.2</v>
      </c>
      <c r="F1369" s="9">
        <f>57.66+3.28+96.5</f>
        <v>157.44</v>
      </c>
      <c r="G1369" s="13">
        <f>F1369/3003.3/12*1000</f>
        <v>4.368527952585489</v>
      </c>
    </row>
    <row r="1370" spans="2:7" ht="12.75">
      <c r="B1370" s="2"/>
      <c r="C1370" s="15" t="s">
        <v>19</v>
      </c>
      <c r="D1370" s="18">
        <v>45.4</v>
      </c>
      <c r="E1370" s="13">
        <v>1.4</v>
      </c>
      <c r="F1370" s="45">
        <v>206.1</v>
      </c>
      <c r="G1370" s="13">
        <f>F1370/3003.3/12*1000</f>
        <v>5.7187094196383965</v>
      </c>
    </row>
    <row r="1371" spans="2:7" ht="12.75">
      <c r="B1371" s="32" t="s">
        <v>20</v>
      </c>
      <c r="C1371" s="32"/>
      <c r="D1371" s="18">
        <v>0</v>
      </c>
      <c r="E1371" s="13">
        <f>D1371/2922.6/12*1000</f>
        <v>0</v>
      </c>
      <c r="F1371" s="18">
        <v>11.2</v>
      </c>
      <c r="G1371" s="13">
        <f>F1371/3003.3/12*1000</f>
        <v>0.3107692649196994</v>
      </c>
    </row>
    <row r="1372" spans="2:7" ht="12.75" customHeight="1">
      <c r="B1372" s="19" t="s">
        <v>21</v>
      </c>
      <c r="C1372" s="19"/>
      <c r="D1372" s="13">
        <f>D1373+D1375+D1374</f>
        <v>225.16433200000003</v>
      </c>
      <c r="E1372" s="13">
        <f>D1372/3003.3/12*1000</f>
        <v>6.247692316229926</v>
      </c>
      <c r="F1372" s="13">
        <f>F1373+F1375+F1374</f>
        <v>215.60999999999999</v>
      </c>
      <c r="G1372" s="13">
        <f>F1372/3003.3/12*1000</f>
        <v>5.982585822262177</v>
      </c>
    </row>
    <row r="1373" spans="2:7" ht="12.75">
      <c r="B1373" s="2"/>
      <c r="C1373" s="15" t="s">
        <v>22</v>
      </c>
      <c r="D1373" s="9">
        <f>E1373*D1361*12/1000</f>
        <v>188.84750400000001</v>
      </c>
      <c r="E1373" s="13">
        <v>5.24</v>
      </c>
      <c r="F1373" s="8">
        <f>134.67+41.07+5.9+18.16+2.44+4.94+0.3+2.1</f>
        <v>209.57999999999998</v>
      </c>
      <c r="G1373" s="13">
        <f>F1373/3003.3/12*1000</f>
        <v>5.815269869809875</v>
      </c>
    </row>
    <row r="1374" spans="2:7" ht="12.75">
      <c r="B1374" s="2"/>
      <c r="C1374" s="15" t="s">
        <v>23</v>
      </c>
      <c r="D1374" s="9">
        <f>E1374*D1361*12/1000</f>
        <v>33.51682800000001</v>
      </c>
      <c r="E1374" s="13">
        <v>0.93</v>
      </c>
      <c r="F1374" s="9">
        <v>5.3</v>
      </c>
      <c r="G1374" s="13">
        <f>F1374/3003.3/12*1000</f>
        <v>0.14706045572092918</v>
      </c>
    </row>
    <row r="1375" spans="2:7" ht="12.75">
      <c r="B1375" s="2"/>
      <c r="C1375" s="20" t="s">
        <v>24</v>
      </c>
      <c r="D1375" s="9">
        <v>2.8</v>
      </c>
      <c r="E1375" s="13">
        <f>D1375/2922.6/12*1000</f>
        <v>0.07983758753621205</v>
      </c>
      <c r="F1375" s="9">
        <v>0.73</v>
      </c>
      <c r="G1375" s="13">
        <f>F1375/3003.3/12*1000</f>
        <v>0.020255496731373262</v>
      </c>
    </row>
    <row r="1376" spans="2:7" ht="12.75">
      <c r="B1376" s="11" t="s">
        <v>25</v>
      </c>
      <c r="C1376" s="11"/>
      <c r="D1376" s="13">
        <f>E1376*D1361*12/1000</f>
        <v>21.263364000000003</v>
      </c>
      <c r="E1376" s="13">
        <v>0.59</v>
      </c>
      <c r="F1376" s="13">
        <v>20.74</v>
      </c>
      <c r="G1376" s="13">
        <f>F1376/3003.3/12*1000</f>
        <v>0.575478085217372</v>
      </c>
    </row>
    <row r="1377" spans="2:7" ht="12.75">
      <c r="B1377" s="21" t="s">
        <v>26</v>
      </c>
      <c r="C1377" s="21"/>
      <c r="D1377" s="13">
        <f>E1377*D1361*12/1000</f>
        <v>111.362364</v>
      </c>
      <c r="E1377" s="13">
        <v>3.09</v>
      </c>
      <c r="F1377" s="1">
        <f>20.18+92.62</f>
        <v>112.80000000000001</v>
      </c>
      <c r="G1377" s="13">
        <f>F1377/3003.3/12*1000</f>
        <v>3.1298904538341157</v>
      </c>
    </row>
    <row r="1378" spans="2:7" ht="12.75">
      <c r="B1378" s="2"/>
      <c r="C1378" s="10" t="s">
        <v>28</v>
      </c>
      <c r="D1378" s="12">
        <f>D1367+D1368+D1372+D1376+D1377</f>
        <v>657.857376</v>
      </c>
      <c r="E1378" s="12">
        <f>E1367+E1368+E1372+E1376+E1377</f>
        <v>18.25429793283554</v>
      </c>
      <c r="F1378" s="12">
        <f>F1367+F1368+F1372+F1376+F1377</f>
        <v>817.8399999999999</v>
      </c>
      <c r="G1378" s="13">
        <f>G1367+G1368+G1372+G1376+G1377</f>
        <v>22.69281568052919</v>
      </c>
    </row>
    <row r="1379" spans="2:7" ht="12.75">
      <c r="B1379" s="2">
        <v>4</v>
      </c>
      <c r="C1379" s="10" t="s">
        <v>29</v>
      </c>
      <c r="D1379" s="13">
        <v>65.73</v>
      </c>
      <c r="E1379" s="12">
        <v>1.8</v>
      </c>
      <c r="F1379" s="12"/>
      <c r="G1379" s="12"/>
    </row>
    <row r="1380" spans="2:7" ht="12.75">
      <c r="B1380" s="5">
        <v>5</v>
      </c>
      <c r="C1380" s="10" t="s">
        <v>13</v>
      </c>
      <c r="D1380" s="13">
        <f>D1378+D1379</f>
        <v>723.5873760000001</v>
      </c>
      <c r="E1380" s="13">
        <f>E1378+E1379</f>
        <v>20.054297932835542</v>
      </c>
      <c r="F1380" s="13">
        <f>F1378-F1364/1000</f>
        <v>124.08591999999999</v>
      </c>
      <c r="G1380" s="13"/>
    </row>
    <row r="1381" spans="2:7" ht="12.75">
      <c r="B1381" s="5"/>
      <c r="C1381" s="10"/>
      <c r="D1381" s="13"/>
      <c r="E1381" s="13"/>
      <c r="F1381" s="13"/>
      <c r="G1381" s="13"/>
    </row>
    <row r="1382" spans="2:7" ht="12.75">
      <c r="B1382" s="11" t="s">
        <v>30</v>
      </c>
      <c r="C1382" s="11"/>
      <c r="D1382" s="33" t="s">
        <v>6</v>
      </c>
      <c r="E1382" s="25"/>
      <c r="F1382" s="25"/>
      <c r="G1382" s="13"/>
    </row>
    <row r="1383" spans="2:7" ht="12.75">
      <c r="B1383" s="25"/>
      <c r="C1383" s="34" t="s">
        <v>31</v>
      </c>
      <c r="D1383" s="35">
        <v>42436.7</v>
      </c>
      <c r="E1383" s="25"/>
      <c r="F1383" s="25"/>
      <c r="G1383" s="13"/>
    </row>
    <row r="1384" spans="2:7" ht="12.75">
      <c r="B1384" s="5"/>
      <c r="C1384" s="23" t="s">
        <v>32</v>
      </c>
      <c r="D1384" s="35">
        <v>42881.64</v>
      </c>
      <c r="E1384" s="25"/>
      <c r="F1384" s="25"/>
      <c r="G1384" s="13"/>
    </row>
    <row r="1385" spans="2:7" ht="12.75">
      <c r="B1385" s="5"/>
      <c r="C1385" s="36" t="s">
        <v>13</v>
      </c>
      <c r="D1385" s="33">
        <f>D1384-D1383</f>
        <v>444.9400000000023</v>
      </c>
      <c r="E1385" s="25"/>
      <c r="F1385" s="25"/>
      <c r="G1385" s="13"/>
    </row>
    <row r="1386" spans="2:7" ht="12.75">
      <c r="B1386" s="5"/>
      <c r="C1386" s="34" t="s">
        <v>33</v>
      </c>
      <c r="D1386" s="35">
        <v>46971.88</v>
      </c>
      <c r="E1386" s="25"/>
      <c r="F1386" s="25"/>
      <c r="G1386" s="13"/>
    </row>
    <row r="1387" spans="2:7" ht="12.75">
      <c r="B1387" s="5"/>
      <c r="C1387" s="23" t="s">
        <v>34</v>
      </c>
      <c r="D1387" s="35">
        <v>47353.63</v>
      </c>
      <c r="E1387" s="25"/>
      <c r="F1387" s="25"/>
      <c r="G1387" s="13"/>
    </row>
    <row r="1388" spans="2:7" ht="12.75">
      <c r="B1388" s="5"/>
      <c r="C1388" s="36" t="s">
        <v>13</v>
      </c>
      <c r="D1388" s="33">
        <f>D1387-D1386</f>
        <v>381.75</v>
      </c>
      <c r="E1388" s="25"/>
      <c r="F1388" s="25"/>
      <c r="G1388" s="13"/>
    </row>
    <row r="1389" spans="2:7" ht="12.75">
      <c r="B1389" s="5"/>
      <c r="C1389" s="34" t="s">
        <v>42</v>
      </c>
      <c r="D1389" s="35">
        <v>36069.66</v>
      </c>
      <c r="E1389" s="25"/>
      <c r="F1389" s="25"/>
      <c r="G1389" s="13"/>
    </row>
    <row r="1390" spans="2:7" ht="12.75">
      <c r="B1390" s="5"/>
      <c r="C1390" s="23" t="s">
        <v>43</v>
      </c>
      <c r="D1390" s="35">
        <v>27514.54</v>
      </c>
      <c r="E1390" s="25"/>
      <c r="F1390" s="25"/>
      <c r="G1390" s="13"/>
    </row>
    <row r="1391" spans="2:7" ht="12.75">
      <c r="B1391" s="5"/>
      <c r="C1391" s="36" t="s">
        <v>13</v>
      </c>
      <c r="D1391" s="33">
        <f>D1390-D1389</f>
        <v>-8555.120000000003</v>
      </c>
      <c r="E1391" s="25"/>
      <c r="F1391" s="25"/>
      <c r="G1391" s="13"/>
    </row>
    <row r="1392" spans="2:7" ht="12.75">
      <c r="B1392" s="11"/>
      <c r="C1392" s="36" t="s">
        <v>35</v>
      </c>
      <c r="D1392" s="50">
        <f>D1385+D1388+D1391</f>
        <v>-7728.43</v>
      </c>
      <c r="E1392" s="25"/>
      <c r="F1392" s="25"/>
      <c r="G1392" s="13"/>
    </row>
    <row r="1393" spans="2:7" ht="12.75">
      <c r="B1393" s="11"/>
      <c r="C1393" s="11"/>
      <c r="D1393" s="27"/>
      <c r="E1393" s="25"/>
      <c r="F1393" s="25"/>
      <c r="G1393" s="13"/>
    </row>
    <row r="1394" spans="2:7" ht="12.75">
      <c r="B1394" s="11"/>
      <c r="C1394" s="14" t="s">
        <v>44</v>
      </c>
      <c r="D1394" s="27" t="s">
        <v>37</v>
      </c>
      <c r="E1394" s="25"/>
      <c r="F1394" s="46">
        <v>131.82</v>
      </c>
      <c r="G1394" s="13"/>
    </row>
    <row r="1395" spans="2:7" ht="12.75">
      <c r="B1395" s="5"/>
      <c r="C1395" s="14" t="s">
        <v>38</v>
      </c>
      <c r="D1395" s="13"/>
      <c r="E1395" s="13"/>
      <c r="F1395" s="37">
        <v>212</v>
      </c>
      <c r="G1395" s="13"/>
    </row>
    <row r="1396" spans="2:7" ht="12.75">
      <c r="B1396" s="23" t="s">
        <v>39</v>
      </c>
      <c r="C1396" s="23"/>
      <c r="D1396" s="23"/>
      <c r="E1396" s="23"/>
      <c r="F1396" s="23"/>
      <c r="G1396" s="23"/>
    </row>
    <row r="1398" spans="2:7" ht="12.75">
      <c r="B1398" s="1" t="s">
        <v>0</v>
      </c>
      <c r="C1398" s="1"/>
      <c r="D1398" s="1"/>
      <c r="E1398" s="1"/>
      <c r="F1398" s="1"/>
      <c r="G1398" s="1"/>
    </row>
    <row r="1399" spans="2:7" ht="12.75">
      <c r="B1399" s="1" t="s">
        <v>51</v>
      </c>
      <c r="C1399" s="1"/>
      <c r="D1399" s="1"/>
      <c r="E1399" s="1"/>
      <c r="F1399" s="1"/>
      <c r="G1399" s="1"/>
    </row>
    <row r="1400" spans="2:7" ht="12.75">
      <c r="B1400" s="1" t="s">
        <v>111</v>
      </c>
      <c r="C1400" s="1"/>
      <c r="D1400" s="1"/>
      <c r="E1400" s="1"/>
      <c r="F1400" s="1"/>
      <c r="G1400" s="1"/>
    </row>
    <row r="1401" spans="2:7" ht="12.75" customHeight="1">
      <c r="B1401" s="2"/>
      <c r="C1401" s="2" t="s">
        <v>3</v>
      </c>
      <c r="D1401" s="3" t="s">
        <v>41</v>
      </c>
      <c r="E1401" s="3"/>
      <c r="F1401" s="4" t="s">
        <v>109</v>
      </c>
      <c r="G1401" s="4"/>
    </row>
    <row r="1402" spans="2:7" ht="12.75">
      <c r="B1402" s="2"/>
      <c r="C1402" s="2"/>
      <c r="D1402" s="3" t="s">
        <v>6</v>
      </c>
      <c r="E1402" s="3" t="s">
        <v>7</v>
      </c>
      <c r="F1402" s="3" t="s">
        <v>6</v>
      </c>
      <c r="G1402" s="3" t="s">
        <v>8</v>
      </c>
    </row>
    <row r="1403" spans="2:7" ht="12.75">
      <c r="B1403" s="5">
        <v>1</v>
      </c>
      <c r="C1403" s="6" t="s">
        <v>9</v>
      </c>
      <c r="D1403" s="1">
        <v>8301.1</v>
      </c>
      <c r="E1403" s="1"/>
      <c r="F1403" s="1">
        <v>8301.1</v>
      </c>
      <c r="G1403" s="1"/>
    </row>
    <row r="1404" spans="2:7" ht="12.75">
      <c r="B1404" s="5">
        <v>2</v>
      </c>
      <c r="C1404" s="7" t="s">
        <v>10</v>
      </c>
      <c r="D1404" s="8"/>
      <c r="E1404" s="8"/>
      <c r="F1404" s="8" t="s">
        <v>3</v>
      </c>
      <c r="G1404" s="8"/>
    </row>
    <row r="1405" spans="2:7" ht="12.75">
      <c r="B1405" s="5"/>
      <c r="C1405" s="20" t="s">
        <v>11</v>
      </c>
      <c r="D1405" s="9"/>
      <c r="E1405" s="9"/>
      <c r="F1405" s="9">
        <v>2072939.31</v>
      </c>
      <c r="G1405" s="9"/>
    </row>
    <row r="1406" spans="2:7" ht="12.75">
      <c r="B1406" s="5"/>
      <c r="C1406" s="34" t="s">
        <v>12</v>
      </c>
      <c r="D1406" s="9"/>
      <c r="E1406" s="9"/>
      <c r="F1406" s="9">
        <v>2047197</v>
      </c>
      <c r="G1406" s="9"/>
    </row>
    <row r="1407" spans="2:7" ht="12.75">
      <c r="B1407" s="5"/>
      <c r="C1407" s="2" t="s">
        <v>13</v>
      </c>
      <c r="D1407" s="9"/>
      <c r="E1407" s="9"/>
      <c r="F1407" s="9">
        <f>F1406-F1405</f>
        <v>-25742.310000000056</v>
      </c>
      <c r="G1407" s="9"/>
    </row>
    <row r="1408" spans="2:7" ht="12.75">
      <c r="B1408" s="5">
        <v>3</v>
      </c>
      <c r="C1408" s="10" t="s">
        <v>14</v>
      </c>
      <c r="D1408" s="1" t="s">
        <v>15</v>
      </c>
      <c r="E1408" s="1"/>
      <c r="F1408" s="1" t="s">
        <v>15</v>
      </c>
      <c r="G1408" s="1"/>
    </row>
    <row r="1409" spans="2:7" ht="12.75">
      <c r="B1409" s="11" t="s">
        <v>16</v>
      </c>
      <c r="C1409" s="11"/>
      <c r="D1409" s="13">
        <v>269.8</v>
      </c>
      <c r="E1409" s="13">
        <v>2.71</v>
      </c>
      <c r="F1409" s="13">
        <v>279.85</v>
      </c>
      <c r="G1409" s="13">
        <f>F1409/8301.1/12*1000</f>
        <v>2.8093666301253246</v>
      </c>
    </row>
    <row r="1410" spans="2:7" ht="12.75" customHeight="1">
      <c r="B1410" s="14" t="s">
        <v>17</v>
      </c>
      <c r="C1410" s="14"/>
      <c r="D1410" s="1">
        <f>D1411+D1412+D1413</f>
        <v>559.2</v>
      </c>
      <c r="E1410" s="13">
        <f>D1410/8301.1/12*1000</f>
        <v>5.613713845153052</v>
      </c>
      <c r="F1410" s="12">
        <f>F1411+F1412+F1413</f>
        <v>609.35</v>
      </c>
      <c r="G1410" s="13">
        <f>F1410/8301.1/12*1000</f>
        <v>6.117161179442082</v>
      </c>
    </row>
    <row r="1411" spans="2:7" ht="12.75">
      <c r="B1411" s="2"/>
      <c r="C1411" s="15" t="s">
        <v>18</v>
      </c>
      <c r="D1411" s="9">
        <v>433.7</v>
      </c>
      <c r="E1411" s="13">
        <v>4.2</v>
      </c>
      <c r="F1411" s="9">
        <f>159.38+9.55+266.7</f>
        <v>435.63</v>
      </c>
      <c r="G1411" s="13">
        <f>F1411/8301.1/12*1000</f>
        <v>4.373215597932804</v>
      </c>
    </row>
    <row r="1412" spans="2:7" ht="12.75">
      <c r="B1412" s="2"/>
      <c r="C1412" s="15" t="s">
        <v>19</v>
      </c>
      <c r="D1412" s="18">
        <v>125.5</v>
      </c>
      <c r="E1412" s="13">
        <v>1.4</v>
      </c>
      <c r="F1412" s="45">
        <v>168.12</v>
      </c>
      <c r="G1412" s="13">
        <f>F1412/8301.1/12*1000</f>
        <v>1.6877281324161857</v>
      </c>
    </row>
    <row r="1413" spans="2:7" ht="12.75">
      <c r="B1413" s="32" t="s">
        <v>20</v>
      </c>
      <c r="C1413" s="32"/>
      <c r="D1413" s="18">
        <v>0</v>
      </c>
      <c r="E1413" s="13">
        <f>D1413/8284.68/12*1000</f>
        <v>0</v>
      </c>
      <c r="F1413" s="18">
        <v>5.6</v>
      </c>
      <c r="G1413" s="13">
        <f>F1413/8301.1/12*1000</f>
        <v>0.05621744909309207</v>
      </c>
    </row>
    <row r="1414" spans="2:7" ht="12.75" customHeight="1">
      <c r="B1414" s="19" t="s">
        <v>21</v>
      </c>
      <c r="C1414" s="19"/>
      <c r="D1414" s="13">
        <f>D1415+D1417+D1416</f>
        <v>622.5634440000001</v>
      </c>
      <c r="E1414" s="13">
        <f>D1414/8301.1/12*1000</f>
        <v>6.249808700051801</v>
      </c>
      <c r="F1414" s="13">
        <f>F1415+F1417+F1416</f>
        <v>606.1900000000002</v>
      </c>
      <c r="G1414" s="13">
        <f>F1414/8301.1/12*1000</f>
        <v>6.085438476025267</v>
      </c>
    </row>
    <row r="1415" spans="2:7" ht="12.75">
      <c r="B1415" s="2"/>
      <c r="C1415" s="15" t="s">
        <v>22</v>
      </c>
      <c r="D1415" s="9">
        <f>E1415*D1403*12/1000</f>
        <v>521.9731680000001</v>
      </c>
      <c r="E1415" s="13">
        <v>5.24</v>
      </c>
      <c r="F1415" s="8">
        <f>372.2+113.53+16.28+50.2+6.76+4.2+15.72+0.84+5.82</f>
        <v>585.5500000000002</v>
      </c>
      <c r="G1415" s="13">
        <f>F1415/8301.1/12*1000</f>
        <v>5.878237020796442</v>
      </c>
    </row>
    <row r="1416" spans="2:7" ht="12.75">
      <c r="B1416" s="2"/>
      <c r="C1416" s="15" t="s">
        <v>23</v>
      </c>
      <c r="D1416" s="9">
        <f>E1416*D1403*12/1000</f>
        <v>92.64027600000001</v>
      </c>
      <c r="E1416" s="13">
        <v>0.93</v>
      </c>
      <c r="F1416" s="9">
        <v>16.24</v>
      </c>
      <c r="G1416" s="13">
        <f>F1416/8301.1/12*1000</f>
        <v>0.16303060236996703</v>
      </c>
    </row>
    <row r="1417" spans="2:7" ht="12.75">
      <c r="B1417" s="2"/>
      <c r="C1417" s="20" t="s">
        <v>24</v>
      </c>
      <c r="D1417" s="9">
        <v>7.95</v>
      </c>
      <c r="E1417" s="13">
        <f>D1417/8284.68/12*1000</f>
        <v>0.07996687862415928</v>
      </c>
      <c r="F1417" s="9">
        <v>4.4</v>
      </c>
      <c r="G1417" s="13">
        <f>F1417/8301.1/12*1000</f>
        <v>0.044170852858858065</v>
      </c>
    </row>
    <row r="1418" spans="2:7" ht="12.75">
      <c r="B1418" s="11" t="s">
        <v>25</v>
      </c>
      <c r="C1418" s="11"/>
      <c r="D1418" s="13">
        <f>E1418*D1403*12/1000</f>
        <v>58.771788</v>
      </c>
      <c r="E1418" s="13">
        <v>0.59</v>
      </c>
      <c r="F1418" s="13">
        <v>61.3</v>
      </c>
      <c r="G1418" s="13">
        <f>F1418/8301.1/12*1000</f>
        <v>0.6153802909654543</v>
      </c>
    </row>
    <row r="1419" spans="2:7" ht="12.75">
      <c r="B1419" s="21" t="s">
        <v>26</v>
      </c>
      <c r="C1419" s="21"/>
      <c r="D1419" s="13">
        <f>E1419*D1403*12/1000</f>
        <v>307.804788</v>
      </c>
      <c r="E1419" s="13">
        <v>3.09</v>
      </c>
      <c r="F1419" s="1">
        <f>55.78+256</f>
        <v>311.78</v>
      </c>
      <c r="G1419" s="13">
        <f>F1419/8301.1/12*1000</f>
        <v>3.129906478257901</v>
      </c>
    </row>
    <row r="1420" spans="2:7" ht="12.75">
      <c r="B1420" s="21"/>
      <c r="C1420" s="22" t="s">
        <v>112</v>
      </c>
      <c r="D1420" s="13">
        <v>0</v>
      </c>
      <c r="E1420" s="13">
        <v>0</v>
      </c>
      <c r="F1420" s="1">
        <v>74.7</v>
      </c>
      <c r="G1420" s="13">
        <f>F1420/8301.1/12*1000</f>
        <v>0.7499006155810676</v>
      </c>
    </row>
    <row r="1421" spans="2:7" ht="12.75">
      <c r="B1421" s="2"/>
      <c r="C1421" s="10" t="s">
        <v>28</v>
      </c>
      <c r="D1421" s="12">
        <f>D1409+D1410+D1414+D1418+D1419</f>
        <v>1818.14002</v>
      </c>
      <c r="E1421" s="12">
        <f>E1409+E1410+E1414+E1418+E1419</f>
        <v>18.253522545204852</v>
      </c>
      <c r="F1421" s="13">
        <f>F1409+F1410+F1414+F1418+F1419+F1420</f>
        <v>1943.1700000000003</v>
      </c>
      <c r="G1421" s="13">
        <f>G1409+G1410+G1414+G1418+G1419+G1420</f>
        <v>19.5071536703971</v>
      </c>
    </row>
    <row r="1422" spans="2:7" ht="12.75">
      <c r="B1422" s="2">
        <v>4</v>
      </c>
      <c r="C1422" s="10" t="s">
        <v>29</v>
      </c>
      <c r="D1422" s="13">
        <v>181.7</v>
      </c>
      <c r="E1422" s="12">
        <v>1.8</v>
      </c>
      <c r="F1422" s="12"/>
      <c r="G1422" s="12"/>
    </row>
    <row r="1423" spans="2:7" ht="12.75">
      <c r="B1423" s="5">
        <v>5</v>
      </c>
      <c r="C1423" s="10" t="s">
        <v>13</v>
      </c>
      <c r="D1423" s="13">
        <f>D1421+D1422</f>
        <v>1999.84002</v>
      </c>
      <c r="E1423" s="13">
        <f>E1421+E1422</f>
        <v>20.053522545204853</v>
      </c>
      <c r="F1423" s="13">
        <f>F1421-F1406/1000</f>
        <v>-104.02699999999959</v>
      </c>
      <c r="G1423" s="13"/>
    </row>
    <row r="1424" spans="2:7" ht="12.75">
      <c r="B1424" s="5"/>
      <c r="C1424" s="10"/>
      <c r="D1424" s="13"/>
      <c r="E1424" s="13"/>
      <c r="F1424" s="13"/>
      <c r="G1424" s="13"/>
    </row>
    <row r="1425" spans="2:7" ht="12.75">
      <c r="B1425" s="11" t="s">
        <v>30</v>
      </c>
      <c r="C1425" s="11"/>
      <c r="D1425" s="33" t="s">
        <v>6</v>
      </c>
      <c r="E1425" s="25"/>
      <c r="F1425" s="25"/>
      <c r="G1425" s="13"/>
    </row>
    <row r="1426" spans="2:7" ht="12.75">
      <c r="B1426" s="25"/>
      <c r="C1426" s="34" t="s">
        <v>31</v>
      </c>
      <c r="D1426" s="35">
        <v>101933.76</v>
      </c>
      <c r="E1426" s="25"/>
      <c r="F1426" s="25"/>
      <c r="G1426" s="13"/>
    </row>
    <row r="1427" spans="2:7" ht="12.75">
      <c r="B1427" s="5"/>
      <c r="C1427" s="23" t="s">
        <v>32</v>
      </c>
      <c r="D1427" s="35">
        <v>88239.47</v>
      </c>
      <c r="E1427" s="25"/>
      <c r="F1427" s="25"/>
      <c r="G1427" s="13"/>
    </row>
    <row r="1428" spans="2:7" ht="12.75">
      <c r="B1428" s="5"/>
      <c r="C1428" s="36" t="s">
        <v>13</v>
      </c>
      <c r="D1428" s="33">
        <f>D1427-D1426</f>
        <v>-13694.289999999994</v>
      </c>
      <c r="E1428" s="25"/>
      <c r="F1428" s="25"/>
      <c r="G1428" s="13"/>
    </row>
    <row r="1429" spans="2:7" ht="12.75">
      <c r="B1429" s="5"/>
      <c r="C1429" s="34" t="s">
        <v>33</v>
      </c>
      <c r="D1429" s="35">
        <v>112807.5</v>
      </c>
      <c r="E1429" s="25"/>
      <c r="F1429" s="25"/>
      <c r="G1429" s="13"/>
    </row>
    <row r="1430" spans="2:7" ht="12.75">
      <c r="B1430" s="5"/>
      <c r="C1430" s="23" t="s">
        <v>34</v>
      </c>
      <c r="D1430" s="35">
        <v>97423.6</v>
      </c>
      <c r="E1430" s="25"/>
      <c r="F1430" s="25"/>
      <c r="G1430" s="13"/>
    </row>
    <row r="1431" spans="2:7" ht="12.75">
      <c r="B1431" s="5"/>
      <c r="C1431" s="36" t="s">
        <v>13</v>
      </c>
      <c r="D1431" s="33">
        <f>D1430-D1429</f>
        <v>-15383.899999999994</v>
      </c>
      <c r="E1431" s="25"/>
      <c r="F1431" s="25"/>
      <c r="G1431" s="13"/>
    </row>
    <row r="1432" spans="2:7" ht="12.75">
      <c r="B1432" s="5"/>
      <c r="C1432" s="34" t="s">
        <v>42</v>
      </c>
      <c r="D1432" s="35">
        <v>30714.17</v>
      </c>
      <c r="E1432" s="25"/>
      <c r="F1432" s="25"/>
      <c r="G1432" s="13"/>
    </row>
    <row r="1433" spans="2:7" ht="12.75">
      <c r="B1433" s="5"/>
      <c r="C1433" s="23" t="s">
        <v>43</v>
      </c>
      <c r="D1433" s="35">
        <v>21887.36</v>
      </c>
      <c r="E1433" s="25"/>
      <c r="F1433" s="25"/>
      <c r="G1433" s="13"/>
    </row>
    <row r="1434" spans="2:7" ht="12.75">
      <c r="B1434" s="5"/>
      <c r="C1434" s="36" t="s">
        <v>13</v>
      </c>
      <c r="D1434" s="33">
        <f>D1433-D1432</f>
        <v>-8826.809999999998</v>
      </c>
      <c r="E1434" s="25"/>
      <c r="F1434" s="25"/>
      <c r="G1434" s="13"/>
    </row>
    <row r="1435" spans="2:7" ht="12.75">
      <c r="B1435" s="11"/>
      <c r="C1435" s="36" t="s">
        <v>35</v>
      </c>
      <c r="D1435" s="50">
        <f>D1428+D1431+D1434</f>
        <v>-37904.999999999985</v>
      </c>
      <c r="E1435" s="25"/>
      <c r="F1435" s="25"/>
      <c r="G1435" s="13"/>
    </row>
    <row r="1436" spans="2:7" ht="12.75">
      <c r="B1436" s="11"/>
      <c r="C1436" s="11"/>
      <c r="D1436" s="27"/>
      <c r="E1436" s="25"/>
      <c r="F1436" s="25"/>
      <c r="G1436" s="13"/>
    </row>
    <row r="1437" spans="2:7" ht="12.75">
      <c r="B1437" s="11"/>
      <c r="C1437" s="14" t="s">
        <v>44</v>
      </c>
      <c r="D1437" s="27" t="s">
        <v>37</v>
      </c>
      <c r="E1437" s="25"/>
      <c r="F1437" s="46">
        <v>-66.13</v>
      </c>
      <c r="G1437" s="13"/>
    </row>
    <row r="1438" spans="2:7" ht="12.75">
      <c r="B1438" s="5"/>
      <c r="C1438" s="10"/>
      <c r="D1438" s="13"/>
      <c r="E1438" s="13"/>
      <c r="F1438" s="13"/>
      <c r="G1438" s="13"/>
    </row>
    <row r="1439" spans="2:7" ht="12.75">
      <c r="B1439" s="5"/>
      <c r="C1439" s="14" t="s">
        <v>38</v>
      </c>
      <c r="D1439" s="13"/>
      <c r="E1439" s="13"/>
      <c r="F1439" s="37">
        <v>190.2</v>
      </c>
      <c r="G1439" s="13"/>
    </row>
    <row r="1440" spans="2:7" ht="12.75">
      <c r="B1440" s="23" t="s">
        <v>39</v>
      </c>
      <c r="C1440" s="23"/>
      <c r="D1440" s="23"/>
      <c r="E1440" s="23"/>
      <c r="F1440" s="23"/>
      <c r="G1440" s="23"/>
    </row>
    <row r="1442" spans="2:7" ht="12.75">
      <c r="B1442" s="1" t="s">
        <v>0</v>
      </c>
      <c r="C1442" s="1"/>
      <c r="D1442" s="1"/>
      <c r="E1442" s="1"/>
      <c r="F1442" s="1"/>
      <c r="G1442" s="1"/>
    </row>
    <row r="1443" spans="2:7" ht="12.75">
      <c r="B1443" s="1" t="s">
        <v>51</v>
      </c>
      <c r="C1443" s="1"/>
      <c r="D1443" s="1"/>
      <c r="E1443" s="1"/>
      <c r="F1443" s="1"/>
      <c r="G1443" s="1"/>
    </row>
    <row r="1444" spans="2:7" ht="12.75">
      <c r="B1444" s="1" t="s">
        <v>113</v>
      </c>
      <c r="C1444" s="1"/>
      <c r="D1444" s="1"/>
      <c r="E1444" s="1"/>
      <c r="F1444" s="1"/>
      <c r="G1444" s="1"/>
    </row>
    <row r="1445" spans="2:7" ht="12.75" customHeight="1">
      <c r="B1445" s="2"/>
      <c r="C1445" s="2" t="s">
        <v>3</v>
      </c>
      <c r="D1445" s="3" t="s">
        <v>41</v>
      </c>
      <c r="E1445" s="3"/>
      <c r="F1445" s="4" t="s">
        <v>109</v>
      </c>
      <c r="G1445" s="4"/>
    </row>
    <row r="1446" spans="2:7" ht="12.75">
      <c r="B1446" s="2"/>
      <c r="C1446" s="2"/>
      <c r="D1446" s="3" t="s">
        <v>6</v>
      </c>
      <c r="E1446" s="3" t="s">
        <v>7</v>
      </c>
      <c r="F1446" s="3" t="s">
        <v>6</v>
      </c>
      <c r="G1446" s="3" t="s">
        <v>8</v>
      </c>
    </row>
    <row r="1447" spans="2:7" ht="12.75">
      <c r="B1447" s="5">
        <v>1</v>
      </c>
      <c r="C1447" s="6" t="s">
        <v>9</v>
      </c>
      <c r="D1447" s="1">
        <v>444.1</v>
      </c>
      <c r="E1447" s="1"/>
      <c r="F1447" s="1">
        <v>444.1</v>
      </c>
      <c r="G1447" s="1"/>
    </row>
    <row r="1448" spans="2:7" ht="12.75">
      <c r="B1448" s="5">
        <v>2</v>
      </c>
      <c r="C1448" s="7" t="s">
        <v>83</v>
      </c>
      <c r="D1448" s="8"/>
      <c r="E1448" s="8"/>
      <c r="F1448" s="8" t="s">
        <v>3</v>
      </c>
      <c r="G1448" s="8"/>
    </row>
    <row r="1449" spans="2:7" ht="12.75">
      <c r="B1449" s="5"/>
      <c r="C1449" s="20" t="s">
        <v>56</v>
      </c>
      <c r="D1449" s="9"/>
      <c r="E1449" s="9"/>
      <c r="F1449" s="9">
        <v>104364.98</v>
      </c>
      <c r="G1449" s="9"/>
    </row>
    <row r="1450" spans="2:7" ht="12.75">
      <c r="B1450" s="5"/>
      <c r="C1450" s="34" t="s">
        <v>65</v>
      </c>
      <c r="D1450" s="9"/>
      <c r="E1450" s="9"/>
      <c r="F1450" s="9">
        <v>105458.56</v>
      </c>
      <c r="G1450" s="9"/>
    </row>
    <row r="1451" spans="2:7" ht="12.75">
      <c r="B1451" s="5"/>
      <c r="C1451" s="2" t="s">
        <v>13</v>
      </c>
      <c r="D1451" s="9"/>
      <c r="E1451" s="9"/>
      <c r="F1451" s="9">
        <f>F1450-F1449</f>
        <v>1093.5800000000017</v>
      </c>
      <c r="G1451" s="9"/>
    </row>
    <row r="1452" spans="2:7" ht="12.75">
      <c r="B1452" s="5">
        <v>3</v>
      </c>
      <c r="C1452" s="10" t="s">
        <v>14</v>
      </c>
      <c r="D1452" s="1" t="s">
        <v>15</v>
      </c>
      <c r="E1452" s="1"/>
      <c r="F1452" s="1" t="s">
        <v>15</v>
      </c>
      <c r="G1452" s="1"/>
    </row>
    <row r="1453" spans="2:7" ht="12.75">
      <c r="B1453" s="11" t="s">
        <v>16</v>
      </c>
      <c r="C1453" s="11"/>
      <c r="D1453" s="13">
        <f>E1453*D1447*12/1000</f>
        <v>14.442131999999999</v>
      </c>
      <c r="E1453" s="13">
        <v>2.71</v>
      </c>
      <c r="F1453" s="13">
        <v>14.09</v>
      </c>
      <c r="G1453" s="13">
        <f>F1453/444.1/12*1000</f>
        <v>2.6439240411318767</v>
      </c>
    </row>
    <row r="1454" spans="2:7" ht="12.75" customHeight="1">
      <c r="B1454" s="14" t="s">
        <v>17</v>
      </c>
      <c r="C1454" s="14"/>
      <c r="D1454" s="1">
        <f>D1455+D1456+D1457</f>
        <v>29.91</v>
      </c>
      <c r="E1454" s="13">
        <f>D1454/444.1/12*1000</f>
        <v>5.612474667867597</v>
      </c>
      <c r="F1454" s="12">
        <f>F1455+F1456+F1457</f>
        <v>29.5</v>
      </c>
      <c r="G1454" s="13">
        <f>F1454/444.1/12*1000</f>
        <v>5.5355400435337385</v>
      </c>
    </row>
    <row r="1455" spans="2:7" ht="12.75">
      <c r="B1455" s="2"/>
      <c r="C1455" s="15" t="s">
        <v>18</v>
      </c>
      <c r="D1455" s="9">
        <v>23.2</v>
      </c>
      <c r="E1455" s="13">
        <f>D1455/444.1/12*1000</f>
        <v>4.353373864745177</v>
      </c>
      <c r="F1455" s="9">
        <f>8.53+0.4+14.27</f>
        <v>23.2</v>
      </c>
      <c r="G1455" s="13">
        <f>F1455/444.1/12*1000</f>
        <v>4.353373864745177</v>
      </c>
    </row>
    <row r="1456" spans="2:7" ht="12.75">
      <c r="B1456" s="2"/>
      <c r="C1456" s="15" t="s">
        <v>19</v>
      </c>
      <c r="D1456" s="18">
        <v>6.71</v>
      </c>
      <c r="E1456" s="13">
        <f>D1456/444.1/12*1000</f>
        <v>1.2591008031224198</v>
      </c>
      <c r="F1456" s="45">
        <v>6.3</v>
      </c>
      <c r="G1456" s="13">
        <f>F1456/444.1/12*1000</f>
        <v>1.1821661787885611</v>
      </c>
    </row>
    <row r="1457" spans="2:7" ht="12.75">
      <c r="B1457" s="32" t="s">
        <v>20</v>
      </c>
      <c r="C1457" s="32"/>
      <c r="D1457" s="18">
        <v>0</v>
      </c>
      <c r="E1457" s="13">
        <f>D1457/443.7/12*1000</f>
        <v>0</v>
      </c>
      <c r="F1457" s="18">
        <v>0</v>
      </c>
      <c r="G1457" s="13">
        <f>F1457/444.1/12*1000</f>
        <v>0</v>
      </c>
    </row>
    <row r="1458" spans="2:7" ht="12.75" customHeight="1">
      <c r="B1458" s="19" t="s">
        <v>21</v>
      </c>
      <c r="C1458" s="19"/>
      <c r="D1458" s="13">
        <f>D1459+D1461+D1460</f>
        <v>33.311164000000005</v>
      </c>
      <c r="E1458" s="13">
        <f>D1458/444.1/12*1000</f>
        <v>6.25068753283795</v>
      </c>
      <c r="F1458" s="13">
        <f>F1459+F1461+F1460</f>
        <v>35.03000000000001</v>
      </c>
      <c r="G1458" s="13">
        <f>F1458/444.1/12*1000</f>
        <v>6.57321924491481</v>
      </c>
    </row>
    <row r="1459" spans="2:7" ht="12.75">
      <c r="B1459" s="2"/>
      <c r="C1459" s="15" t="s">
        <v>22</v>
      </c>
      <c r="D1459" s="9">
        <f>E1459*D1447*12/1000</f>
        <v>27.925008000000002</v>
      </c>
      <c r="E1459" s="13">
        <v>5.24</v>
      </c>
      <c r="F1459" s="8">
        <f>19.91+6.07+0.87+2.69+0.36+1.4+2.58+0.31</f>
        <v>34.190000000000005</v>
      </c>
      <c r="G1459" s="13">
        <f>F1459/444.1/12*1000</f>
        <v>6.415597087743001</v>
      </c>
    </row>
    <row r="1460" spans="2:7" ht="12.75">
      <c r="B1460" s="2"/>
      <c r="C1460" s="15" t="s">
        <v>23</v>
      </c>
      <c r="D1460" s="9">
        <f>E1460*D1447*12/1000</f>
        <v>4.956156000000001</v>
      </c>
      <c r="E1460" s="13">
        <v>0.93</v>
      </c>
      <c r="F1460" s="9">
        <v>0.74</v>
      </c>
      <c r="G1460" s="13">
        <f>F1460/444.1/12*1000</f>
        <v>0.1388576146513548</v>
      </c>
    </row>
    <row r="1461" spans="2:7" ht="12.75">
      <c r="B1461" s="2"/>
      <c r="C1461" s="20" t="s">
        <v>24</v>
      </c>
      <c r="D1461" s="9">
        <v>0.43</v>
      </c>
      <c r="E1461" s="13">
        <f>D1461/443.7/12*1000</f>
        <v>0.08076027345804222</v>
      </c>
      <c r="F1461" s="9">
        <v>0.1</v>
      </c>
      <c r="G1461" s="13">
        <f>F1461/444.1/12*1000</f>
        <v>0.018764542520453353</v>
      </c>
    </row>
    <row r="1462" spans="2:7" ht="12.75">
      <c r="B1462" s="11" t="s">
        <v>25</v>
      </c>
      <c r="C1462" s="11"/>
      <c r="D1462" s="13">
        <f>E1462*D1447*12/1000</f>
        <v>3.144228</v>
      </c>
      <c r="E1462" s="13">
        <v>0.59</v>
      </c>
      <c r="F1462" s="13">
        <v>3.15</v>
      </c>
      <c r="G1462" s="13">
        <f>F1462/444.1/12*1000</f>
        <v>0.5910830893942806</v>
      </c>
    </row>
    <row r="1463" spans="2:7" ht="12.75">
      <c r="B1463" s="21" t="s">
        <v>26</v>
      </c>
      <c r="C1463" s="21"/>
      <c r="D1463" s="13">
        <f>E1463*D1447*12/1000</f>
        <v>16.467228</v>
      </c>
      <c r="E1463" s="13">
        <v>3.09</v>
      </c>
      <c r="F1463" s="1">
        <f>2.98+13.7</f>
        <v>16.68</v>
      </c>
      <c r="G1463" s="13">
        <f>F1463/444.1/12*1000</f>
        <v>3.1299256924116183</v>
      </c>
    </row>
    <row r="1464" spans="2:7" ht="12.75">
      <c r="B1464" s="2"/>
      <c r="C1464" s="10" t="s">
        <v>28</v>
      </c>
      <c r="D1464" s="12">
        <f>D1453+D1454+D1458+D1462+D1463</f>
        <v>97.274752</v>
      </c>
      <c r="E1464" s="12">
        <f>E1453+E1454+E1458+E1462+E1463</f>
        <v>18.253162200705546</v>
      </c>
      <c r="F1464" s="12">
        <f>F1453+F1454+F1458+F1462+F1463</f>
        <v>98.45000000000002</v>
      </c>
      <c r="G1464" s="12">
        <f>G1453+G1454+G1458+G1462+G1463</f>
        <v>18.473692111386324</v>
      </c>
    </row>
    <row r="1465" spans="2:7" ht="12.75">
      <c r="B1465" s="2">
        <v>4</v>
      </c>
      <c r="C1465" s="10" t="s">
        <v>29</v>
      </c>
      <c r="D1465" s="13">
        <v>9.73</v>
      </c>
      <c r="E1465" s="12">
        <v>1.8</v>
      </c>
      <c r="F1465" s="12"/>
      <c r="G1465" s="12"/>
    </row>
    <row r="1466" spans="2:7" ht="12.75">
      <c r="B1466" s="5">
        <v>5</v>
      </c>
      <c r="C1466" s="10" t="s">
        <v>13</v>
      </c>
      <c r="D1466" s="13">
        <f>D1464+D1465</f>
        <v>107.00475200000001</v>
      </c>
      <c r="E1466" s="13">
        <f>E1464+E1465</f>
        <v>20.053162200705547</v>
      </c>
      <c r="F1466" s="13">
        <f>F1464-F1450/1000</f>
        <v>-7.008559999999974</v>
      </c>
      <c r="G1466" s="13"/>
    </row>
    <row r="1467" spans="2:7" ht="12.75">
      <c r="B1467" s="5"/>
      <c r="C1467" s="10"/>
      <c r="D1467" s="13"/>
      <c r="E1467" s="13"/>
      <c r="F1467" s="13"/>
      <c r="G1467" s="13"/>
    </row>
    <row r="1468" spans="2:7" ht="12.75">
      <c r="B1468" s="5"/>
      <c r="C1468" s="14" t="s">
        <v>38</v>
      </c>
      <c r="D1468" s="13"/>
      <c r="E1468" s="13"/>
      <c r="F1468" s="13">
        <v>81.1</v>
      </c>
      <c r="G1468" s="13"/>
    </row>
    <row r="1469" spans="2:7" ht="12.75">
      <c r="B1469" s="23" t="s">
        <v>39</v>
      </c>
      <c r="C1469" s="23"/>
      <c r="D1469" s="23"/>
      <c r="E1469" s="23"/>
      <c r="F1469" s="23"/>
      <c r="G1469" s="23"/>
    </row>
    <row r="1471" spans="2:7" ht="12.75">
      <c r="B1471" s="1" t="s">
        <v>0</v>
      </c>
      <c r="C1471" s="1"/>
      <c r="D1471" s="1"/>
      <c r="E1471" s="1"/>
      <c r="F1471" s="1"/>
      <c r="G1471" s="1"/>
    </row>
    <row r="1472" spans="2:7" ht="12.75">
      <c r="B1472" s="1" t="s">
        <v>46</v>
      </c>
      <c r="C1472" s="1"/>
      <c r="D1472" s="1"/>
      <c r="E1472" s="1"/>
      <c r="F1472" s="1"/>
      <c r="G1472" s="1"/>
    </row>
    <row r="1473" spans="2:7" ht="12.75">
      <c r="B1473" s="1" t="s">
        <v>114</v>
      </c>
      <c r="C1473" s="1"/>
      <c r="D1473" s="1"/>
      <c r="E1473" s="1"/>
      <c r="F1473" s="1"/>
      <c r="G1473" s="1"/>
    </row>
    <row r="1474" spans="2:7" ht="12.75" customHeight="1">
      <c r="B1474" s="2"/>
      <c r="C1474" s="2" t="s">
        <v>3</v>
      </c>
      <c r="D1474" s="3" t="s">
        <v>41</v>
      </c>
      <c r="E1474" s="3"/>
      <c r="F1474" s="4" t="s">
        <v>109</v>
      </c>
      <c r="G1474" s="4"/>
    </row>
    <row r="1475" spans="2:7" ht="12.75">
      <c r="B1475" s="2"/>
      <c r="C1475" s="2"/>
      <c r="D1475" s="3" t="s">
        <v>6</v>
      </c>
      <c r="E1475" s="3" t="s">
        <v>7</v>
      </c>
      <c r="F1475" s="3" t="s">
        <v>6</v>
      </c>
      <c r="G1475" s="3" t="s">
        <v>8</v>
      </c>
    </row>
    <row r="1476" spans="2:7" ht="12.75">
      <c r="B1476" s="5">
        <v>1</v>
      </c>
      <c r="C1476" s="6" t="s">
        <v>9</v>
      </c>
      <c r="D1476" s="12">
        <v>3412</v>
      </c>
      <c r="E1476" s="12"/>
      <c r="F1476" s="12">
        <v>3412</v>
      </c>
      <c r="G1476" s="12"/>
    </row>
    <row r="1477" spans="2:7" ht="12.75">
      <c r="B1477" s="5">
        <v>2</v>
      </c>
      <c r="C1477" s="7" t="s">
        <v>62</v>
      </c>
      <c r="D1477" s="8"/>
      <c r="E1477" s="8"/>
      <c r="F1477" s="8" t="s">
        <v>3</v>
      </c>
      <c r="G1477" s="8"/>
    </row>
    <row r="1478" spans="2:7" ht="12.75">
      <c r="B1478" s="5"/>
      <c r="C1478" s="20" t="s">
        <v>56</v>
      </c>
      <c r="D1478" s="9"/>
      <c r="E1478" s="9"/>
      <c r="F1478" s="9">
        <v>869443.78</v>
      </c>
      <c r="G1478" s="9"/>
    </row>
    <row r="1479" spans="2:7" ht="12.75">
      <c r="B1479" s="5"/>
      <c r="C1479" s="34" t="s">
        <v>57</v>
      </c>
      <c r="D1479" s="9"/>
      <c r="E1479" s="9"/>
      <c r="F1479" s="9">
        <v>938732.06</v>
      </c>
      <c r="G1479" s="9"/>
    </row>
    <row r="1480" spans="2:7" ht="12.75">
      <c r="B1480" s="5"/>
      <c r="C1480" s="2" t="s">
        <v>13</v>
      </c>
      <c r="D1480" s="9"/>
      <c r="E1480" s="9"/>
      <c r="F1480" s="9">
        <f>F1479-F1478</f>
        <v>69288.28000000003</v>
      </c>
      <c r="G1480" s="9"/>
    </row>
    <row r="1481" spans="2:7" ht="12.75">
      <c r="B1481" s="5">
        <v>3</v>
      </c>
      <c r="C1481" s="10" t="s">
        <v>14</v>
      </c>
      <c r="D1481" s="1" t="s">
        <v>15</v>
      </c>
      <c r="E1481" s="1"/>
      <c r="F1481" s="1" t="s">
        <v>15</v>
      </c>
      <c r="G1481" s="1"/>
    </row>
    <row r="1482" spans="2:7" ht="12.75">
      <c r="B1482" s="11" t="s">
        <v>16</v>
      </c>
      <c r="C1482" s="11"/>
      <c r="D1482" s="13">
        <f>E1482*D1476*12/1000</f>
        <v>110.95824</v>
      </c>
      <c r="E1482" s="13">
        <v>2.71</v>
      </c>
      <c r="F1482" s="13">
        <v>117.38</v>
      </c>
      <c r="G1482" s="13">
        <f>F1482/3412/12*1000</f>
        <v>2.86684251660805</v>
      </c>
    </row>
    <row r="1483" spans="2:7" ht="12.75" customHeight="1">
      <c r="B1483" s="14" t="s">
        <v>17</v>
      </c>
      <c r="C1483" s="14"/>
      <c r="D1483" s="1">
        <f>D1484+D1485+D1486</f>
        <v>229.6</v>
      </c>
      <c r="E1483" s="13">
        <f>D1483/3412/12*1000</f>
        <v>5.607659241891363</v>
      </c>
      <c r="F1483" s="12">
        <f>F1484+F1485+F1486</f>
        <v>464.2</v>
      </c>
      <c r="G1483" s="13">
        <f>F1483/3412/12*1000</f>
        <v>11.337436498632279</v>
      </c>
    </row>
    <row r="1484" spans="2:7" ht="12.75">
      <c r="B1484" s="2"/>
      <c r="C1484" s="15" t="s">
        <v>18</v>
      </c>
      <c r="D1484" s="9">
        <v>178</v>
      </c>
      <c r="E1484" s="13">
        <v>4.2</v>
      </c>
      <c r="F1484" s="9">
        <f>65.5+3.6+109.6</f>
        <v>178.7</v>
      </c>
      <c r="G1484" s="13">
        <f>F1484/3412/12*1000</f>
        <v>4.364497850722938</v>
      </c>
    </row>
    <row r="1485" spans="2:7" ht="12.75">
      <c r="B1485" s="2"/>
      <c r="C1485" s="15" t="s">
        <v>19</v>
      </c>
      <c r="D1485" s="18">
        <v>51.6</v>
      </c>
      <c r="E1485" s="13">
        <v>1.4</v>
      </c>
      <c r="F1485" s="45">
        <v>285.5</v>
      </c>
      <c r="G1485" s="13">
        <f>F1485/3412/12*1000</f>
        <v>6.97293864790934</v>
      </c>
    </row>
    <row r="1486" spans="2:7" ht="12.75">
      <c r="B1486" s="32" t="s">
        <v>20</v>
      </c>
      <c r="C1486" s="32"/>
      <c r="D1486" s="18">
        <v>0</v>
      </c>
      <c r="E1486" s="13">
        <f>D1486/3412/12*1000</f>
        <v>0</v>
      </c>
      <c r="F1486" s="18">
        <v>0</v>
      </c>
      <c r="G1486" s="13">
        <f>F1486/3412/12*1000</f>
        <v>0</v>
      </c>
    </row>
    <row r="1487" spans="2:7" ht="12.75" customHeight="1">
      <c r="B1487" s="19" t="s">
        <v>21</v>
      </c>
      <c r="C1487" s="19"/>
      <c r="D1487" s="13">
        <f>D1488+D1490+D1489</f>
        <v>255.90448</v>
      </c>
      <c r="E1487" s="13">
        <f>D1487/3412/12*1000</f>
        <v>6.250109417741307</v>
      </c>
      <c r="F1487" s="13">
        <f>F1488+F1490+F1489</f>
        <v>244.12</v>
      </c>
      <c r="G1487" s="13">
        <f>F1487/3412/12*1000</f>
        <v>5.962289957014459</v>
      </c>
    </row>
    <row r="1488" spans="2:7" ht="12.75">
      <c r="B1488" s="2"/>
      <c r="C1488" s="15" t="s">
        <v>22</v>
      </c>
      <c r="D1488" s="9">
        <f>E1488*D1476*12/1000</f>
        <v>214.54656</v>
      </c>
      <c r="E1488" s="13">
        <v>5.24</v>
      </c>
      <c r="F1488" s="8">
        <f>153+46.66+6.7+20.6+2.78+2.8+0.3+0.35+2.4</f>
        <v>235.59</v>
      </c>
      <c r="G1488" s="13">
        <f>F1488/3412/12*1000</f>
        <v>5.753956623681125</v>
      </c>
    </row>
    <row r="1489" spans="2:7" ht="12.75">
      <c r="B1489" s="2"/>
      <c r="C1489" s="15" t="s">
        <v>23</v>
      </c>
      <c r="D1489" s="9">
        <f>E1489*D1476*12/1000</f>
        <v>38.077920000000006</v>
      </c>
      <c r="E1489" s="13">
        <v>0.93</v>
      </c>
      <c r="F1489" s="9">
        <v>8.03</v>
      </c>
      <c r="G1489" s="13">
        <f>F1489/3412/12*1000</f>
        <v>0.19612153184837824</v>
      </c>
    </row>
    <row r="1490" spans="2:7" ht="12.75">
      <c r="B1490" s="2"/>
      <c r="C1490" s="20" t="s">
        <v>24</v>
      </c>
      <c r="D1490" s="9">
        <v>3.28</v>
      </c>
      <c r="E1490" s="13">
        <f>D1490/3412/12*1000</f>
        <v>0.0801094177413052</v>
      </c>
      <c r="F1490" s="9">
        <v>0.5</v>
      </c>
      <c r="G1490" s="13">
        <f>F1490/3412/12*1000</f>
        <v>0.01221180148495506</v>
      </c>
    </row>
    <row r="1491" spans="2:7" ht="12.75">
      <c r="B1491" s="11" t="s">
        <v>25</v>
      </c>
      <c r="C1491" s="11"/>
      <c r="D1491" s="13">
        <f>E1491*D1476*12/1000</f>
        <v>24.156959999999998</v>
      </c>
      <c r="E1491" s="13">
        <v>0.59</v>
      </c>
      <c r="F1491" s="13">
        <v>28.09</v>
      </c>
      <c r="G1491" s="13">
        <f>F1491/3412/12*1000</f>
        <v>0.6860590074247753</v>
      </c>
    </row>
    <row r="1492" spans="2:7" ht="12.75">
      <c r="B1492" s="21" t="s">
        <v>26</v>
      </c>
      <c r="C1492" s="21"/>
      <c r="D1492" s="13">
        <f>E1492*D1476*12/1000</f>
        <v>126.51696</v>
      </c>
      <c r="E1492" s="13">
        <v>3.09</v>
      </c>
      <c r="F1492" s="1">
        <f>23+105.2</f>
        <v>128.2</v>
      </c>
      <c r="G1492" s="13">
        <f>F1492/3412/12*1000</f>
        <v>3.1311059007424773</v>
      </c>
    </row>
    <row r="1493" spans="2:7" ht="12.75">
      <c r="B1493" s="2"/>
      <c r="C1493" s="10" t="s">
        <v>28</v>
      </c>
      <c r="D1493" s="12">
        <f>D1482+D1483+D1487+D1491+D1492</f>
        <v>747.13664</v>
      </c>
      <c r="E1493" s="12">
        <f>E1482+E1483+E1487+E1491+E1492</f>
        <v>18.24776865963267</v>
      </c>
      <c r="F1493" s="12">
        <f>F1482+F1483+F1487+F1491+F1492</f>
        <v>981.99</v>
      </c>
      <c r="G1493" s="13">
        <f>G1482+G1483+G1487+G1491+G1492</f>
        <v>23.983733880422037</v>
      </c>
    </row>
    <row r="1494" spans="2:7" ht="12.75">
      <c r="B1494" s="2">
        <v>4</v>
      </c>
      <c r="C1494" s="10" t="s">
        <v>29</v>
      </c>
      <c r="D1494" s="13">
        <v>74.68</v>
      </c>
      <c r="E1494" s="12">
        <v>1.8</v>
      </c>
      <c r="F1494" s="12"/>
      <c r="G1494" s="12"/>
    </row>
    <row r="1495" spans="2:7" ht="12.75">
      <c r="B1495" s="5">
        <v>5</v>
      </c>
      <c r="C1495" s="10" t="s">
        <v>13</v>
      </c>
      <c r="D1495" s="13">
        <f>D1493+D1494</f>
        <v>821.81664</v>
      </c>
      <c r="E1495" s="13">
        <f>E1493+E1494</f>
        <v>20.04776865963267</v>
      </c>
      <c r="F1495" s="13">
        <f>F1493-F1479/1000</f>
        <v>43.25793999999996</v>
      </c>
      <c r="G1495" s="13"/>
    </row>
    <row r="1496" spans="2:7" ht="12.75">
      <c r="B1496" s="5"/>
      <c r="C1496" s="10"/>
      <c r="D1496" s="13"/>
      <c r="E1496" s="13"/>
      <c r="F1496" s="13"/>
      <c r="G1496" s="13"/>
    </row>
    <row r="1497" spans="2:7" ht="12.75">
      <c r="B1497" s="11" t="s">
        <v>30</v>
      </c>
      <c r="C1497" s="11"/>
      <c r="D1497" s="33" t="s">
        <v>6</v>
      </c>
      <c r="E1497" s="25"/>
      <c r="F1497" s="25"/>
      <c r="G1497" s="13"/>
    </row>
    <row r="1498" spans="2:7" ht="12.75">
      <c r="B1498" s="25"/>
      <c r="C1498" s="34" t="s">
        <v>31</v>
      </c>
      <c r="D1498" s="35">
        <v>51657.94</v>
      </c>
      <c r="E1498" s="25"/>
      <c r="F1498" s="25"/>
      <c r="G1498" s="13"/>
    </row>
    <row r="1499" spans="2:7" ht="12.75">
      <c r="B1499" s="5"/>
      <c r="C1499" s="23" t="s">
        <v>32</v>
      </c>
      <c r="D1499" s="35">
        <v>51993.41</v>
      </c>
      <c r="E1499" s="25"/>
      <c r="F1499" s="25"/>
      <c r="G1499" s="13"/>
    </row>
    <row r="1500" spans="2:7" ht="12.75">
      <c r="B1500" s="5"/>
      <c r="C1500" s="36" t="s">
        <v>13</v>
      </c>
      <c r="D1500" s="33">
        <f>D1499-D1498</f>
        <v>335.47000000000116</v>
      </c>
      <c r="E1500" s="25"/>
      <c r="F1500" s="25"/>
      <c r="G1500" s="13"/>
    </row>
    <row r="1501" spans="2:7" ht="12.75">
      <c r="B1501" s="5"/>
      <c r="C1501" s="34" t="s">
        <v>33</v>
      </c>
      <c r="D1501" s="35">
        <v>57219.69</v>
      </c>
      <c r="E1501" s="25"/>
      <c r="F1501" s="25"/>
      <c r="G1501" s="13"/>
    </row>
    <row r="1502" spans="2:7" ht="12.75">
      <c r="B1502" s="5"/>
      <c r="C1502" s="23" t="s">
        <v>34</v>
      </c>
      <c r="D1502" s="35">
        <v>57122.65</v>
      </c>
      <c r="E1502" s="25"/>
      <c r="F1502" s="25"/>
      <c r="G1502" s="13"/>
    </row>
    <row r="1503" spans="2:7" ht="12.75">
      <c r="B1503" s="5"/>
      <c r="C1503" s="36" t="s">
        <v>13</v>
      </c>
      <c r="D1503" s="33">
        <f>D1502-D1501</f>
        <v>-97.04000000000087</v>
      </c>
      <c r="E1503" s="25"/>
      <c r="F1503" s="25"/>
      <c r="G1503" s="13"/>
    </row>
    <row r="1504" spans="2:7" ht="12.75">
      <c r="B1504" s="5"/>
      <c r="C1504" s="34" t="s">
        <v>42</v>
      </c>
      <c r="D1504" s="35">
        <v>24668.95</v>
      </c>
      <c r="E1504" s="25"/>
      <c r="F1504" s="25"/>
      <c r="G1504" s="13"/>
    </row>
    <row r="1505" spans="2:7" ht="12.75">
      <c r="B1505" s="5"/>
      <c r="C1505" s="23" t="s">
        <v>43</v>
      </c>
      <c r="D1505" s="35">
        <v>21312.11</v>
      </c>
      <c r="E1505" s="25"/>
      <c r="F1505" s="25"/>
      <c r="G1505" s="13"/>
    </row>
    <row r="1506" spans="2:7" ht="12.75">
      <c r="B1506" s="5"/>
      <c r="C1506" s="36" t="s">
        <v>13</v>
      </c>
      <c r="D1506" s="33">
        <f>D1505-D1504</f>
        <v>-3356.84</v>
      </c>
      <c r="E1506" s="25"/>
      <c r="F1506" s="25"/>
      <c r="G1506" s="13"/>
    </row>
    <row r="1507" spans="2:7" ht="12.75">
      <c r="B1507" s="11"/>
      <c r="C1507" s="36" t="s">
        <v>35</v>
      </c>
      <c r="D1507" s="50">
        <f>D1500+D1503+D1506</f>
        <v>-3118.41</v>
      </c>
      <c r="E1507" s="25"/>
      <c r="F1507" s="25"/>
      <c r="G1507" s="13"/>
    </row>
    <row r="1508" spans="2:7" ht="12.75">
      <c r="B1508" s="11"/>
      <c r="C1508" s="11"/>
      <c r="D1508" s="27"/>
      <c r="E1508" s="25"/>
      <c r="F1508" s="25"/>
      <c r="G1508" s="13"/>
    </row>
    <row r="1509" spans="2:7" ht="12.75">
      <c r="B1509" s="11"/>
      <c r="C1509" s="14" t="s">
        <v>58</v>
      </c>
      <c r="D1509" s="27" t="s">
        <v>37</v>
      </c>
      <c r="E1509" s="25"/>
      <c r="F1509" s="24">
        <v>46.38</v>
      </c>
      <c r="G1509" s="13"/>
    </row>
    <row r="1510" spans="2:7" ht="12.75">
      <c r="B1510" s="5"/>
      <c r="C1510" s="10"/>
      <c r="D1510" s="13"/>
      <c r="E1510" s="13"/>
      <c r="F1510" s="13"/>
      <c r="G1510" s="13"/>
    </row>
    <row r="1511" spans="2:7" ht="12.75">
      <c r="B1511" s="5"/>
      <c r="C1511" s="14" t="s">
        <v>38</v>
      </c>
      <c r="D1511" s="13"/>
      <c r="E1511" s="13"/>
      <c r="F1511" s="37">
        <v>37.8</v>
      </c>
      <c r="G1511" s="13"/>
    </row>
    <row r="1512" spans="2:7" ht="12.75">
      <c r="B1512" s="23" t="s">
        <v>39</v>
      </c>
      <c r="C1512" s="23"/>
      <c r="D1512" s="23"/>
      <c r="E1512" s="23"/>
      <c r="F1512" s="23"/>
      <c r="G1512" s="23"/>
    </row>
    <row r="1514" spans="2:7" ht="12.75">
      <c r="B1514" s="1" t="s">
        <v>0</v>
      </c>
      <c r="C1514" s="1"/>
      <c r="D1514" s="1"/>
      <c r="E1514" s="1"/>
      <c r="F1514" s="1"/>
      <c r="G1514" s="1"/>
    </row>
    <row r="1515" spans="2:7" ht="12.75">
      <c r="B1515" s="1" t="s">
        <v>51</v>
      </c>
      <c r="C1515" s="1"/>
      <c r="D1515" s="1"/>
      <c r="E1515" s="1"/>
      <c r="F1515" s="1"/>
      <c r="G1515" s="1"/>
    </row>
    <row r="1516" spans="2:7" ht="12.75">
      <c r="B1516" s="1" t="s">
        <v>115</v>
      </c>
      <c r="C1516" s="1"/>
      <c r="D1516" s="1"/>
      <c r="E1516" s="1"/>
      <c r="F1516" s="1"/>
      <c r="G1516" s="1"/>
    </row>
    <row r="1517" spans="2:7" ht="12.75" customHeight="1">
      <c r="B1517" s="2"/>
      <c r="C1517" s="2" t="s">
        <v>3</v>
      </c>
      <c r="D1517" s="3" t="s">
        <v>41</v>
      </c>
      <c r="E1517" s="3"/>
      <c r="F1517" s="4" t="s">
        <v>5</v>
      </c>
      <c r="G1517" s="4"/>
    </row>
    <row r="1518" spans="2:7" ht="12.75">
      <c r="B1518" s="2"/>
      <c r="C1518" s="2"/>
      <c r="D1518" s="3" t="s">
        <v>6</v>
      </c>
      <c r="E1518" s="3" t="s">
        <v>7</v>
      </c>
      <c r="F1518" s="3" t="s">
        <v>6</v>
      </c>
      <c r="G1518" s="3" t="s">
        <v>8</v>
      </c>
    </row>
    <row r="1519" spans="2:7" ht="12.75">
      <c r="B1519" s="5">
        <v>1</v>
      </c>
      <c r="C1519" s="6" t="s">
        <v>9</v>
      </c>
      <c r="D1519" s="1">
        <v>1771.82</v>
      </c>
      <c r="E1519" s="1"/>
      <c r="F1519" s="1">
        <v>1771.82</v>
      </c>
      <c r="G1519" s="1"/>
    </row>
    <row r="1520" spans="2:7" ht="12.75">
      <c r="B1520" s="5">
        <v>2</v>
      </c>
      <c r="C1520" s="7" t="s">
        <v>62</v>
      </c>
      <c r="D1520" s="8"/>
      <c r="E1520" s="8"/>
      <c r="F1520" s="8" t="s">
        <v>3</v>
      </c>
      <c r="G1520" s="8"/>
    </row>
    <row r="1521" spans="2:7" ht="12.75">
      <c r="B1521" s="5"/>
      <c r="C1521" s="20" t="s">
        <v>56</v>
      </c>
      <c r="D1521" s="9"/>
      <c r="E1521" s="9"/>
      <c r="F1521" s="9">
        <v>423037.14</v>
      </c>
      <c r="G1521" s="9"/>
    </row>
    <row r="1522" spans="2:7" ht="12.75">
      <c r="B1522" s="5"/>
      <c r="C1522" s="34" t="s">
        <v>57</v>
      </c>
      <c r="D1522" s="9"/>
      <c r="E1522" s="9"/>
      <c r="F1522" s="9">
        <v>446685.36</v>
      </c>
      <c r="G1522" s="9"/>
    </row>
    <row r="1523" spans="2:7" ht="12.75">
      <c r="B1523" s="5"/>
      <c r="C1523" s="2" t="s">
        <v>13</v>
      </c>
      <c r="D1523" s="9"/>
      <c r="E1523" s="9"/>
      <c r="F1523" s="9">
        <f>F1522-F1521</f>
        <v>23648.219999999972</v>
      </c>
      <c r="G1523" s="9"/>
    </row>
    <row r="1524" spans="2:7" ht="12.75">
      <c r="B1524" s="5">
        <v>3</v>
      </c>
      <c r="C1524" s="10" t="s">
        <v>14</v>
      </c>
      <c r="D1524" s="1" t="s">
        <v>15</v>
      </c>
      <c r="E1524" s="1"/>
      <c r="F1524" s="1" t="s">
        <v>15</v>
      </c>
      <c r="G1524" s="1"/>
    </row>
    <row r="1525" spans="2:7" ht="12.75">
      <c r="B1525" s="11" t="s">
        <v>16</v>
      </c>
      <c r="C1525" s="11"/>
      <c r="D1525" s="13">
        <f>E1525*D1519*12/1000</f>
        <v>57.6195864</v>
      </c>
      <c r="E1525" s="13">
        <v>2.71</v>
      </c>
      <c r="F1525" s="13">
        <v>57.11</v>
      </c>
      <c r="G1525" s="13">
        <f>F1525/1771.82/12*1000</f>
        <v>2.6860328174795787</v>
      </c>
    </row>
    <row r="1526" spans="2:7" ht="12.75" customHeight="1">
      <c r="B1526" s="14" t="s">
        <v>17</v>
      </c>
      <c r="C1526" s="14"/>
      <c r="D1526" s="1">
        <f>D1527+D1528+D1529</f>
        <v>119.3</v>
      </c>
      <c r="E1526" s="13">
        <f>D1526/1771.82/12*1000</f>
        <v>5.610991334710449</v>
      </c>
      <c r="F1526" s="12">
        <f>F1527+F1528+F1529</f>
        <v>140.01</v>
      </c>
      <c r="G1526" s="13">
        <f>F1526/1771.82/12*1000</f>
        <v>6.585036854759512</v>
      </c>
    </row>
    <row r="1527" spans="2:7" ht="12.75">
      <c r="B1527" s="2"/>
      <c r="C1527" s="15" t="s">
        <v>18</v>
      </c>
      <c r="D1527" s="9">
        <v>92.5</v>
      </c>
      <c r="E1527" s="13">
        <v>4.2</v>
      </c>
      <c r="F1527" s="9">
        <f>34.02+3.09+56.9</f>
        <v>94.00999999999999</v>
      </c>
      <c r="G1527" s="13">
        <f>F1527/1771.82/12*1000</f>
        <v>4.421536423940731</v>
      </c>
    </row>
    <row r="1528" spans="2:7" ht="12.75">
      <c r="B1528" s="2"/>
      <c r="C1528" s="15" t="s">
        <v>19</v>
      </c>
      <c r="D1528" s="18">
        <v>26.8</v>
      </c>
      <c r="E1528" s="13">
        <v>1.4</v>
      </c>
      <c r="F1528" s="45">
        <v>39</v>
      </c>
      <c r="G1528" s="13">
        <f>F1528/1771.82/12*1000</f>
        <v>1.8342721043898365</v>
      </c>
    </row>
    <row r="1529" spans="2:7" ht="12.75">
      <c r="B1529" s="32" t="s">
        <v>20</v>
      </c>
      <c r="C1529" s="32"/>
      <c r="D1529" s="18">
        <v>0</v>
      </c>
      <c r="E1529" s="13">
        <f>D1529/1771.82/12*1000</f>
        <v>0</v>
      </c>
      <c r="F1529" s="18">
        <v>7</v>
      </c>
      <c r="G1529" s="13">
        <f>F1529/1771.82/12*1000</f>
        <v>0.329228326428945</v>
      </c>
    </row>
    <row r="1530" spans="2:7" ht="12.75" customHeight="1">
      <c r="B1530" s="19" t="s">
        <v>21</v>
      </c>
      <c r="C1530" s="19"/>
      <c r="D1530" s="13">
        <f>D1531+D1533+D1532</f>
        <v>132.88555280000003</v>
      </c>
      <c r="E1530" s="13">
        <f>D1530/1771.82/12*1000</f>
        <v>6.2499554507041735</v>
      </c>
      <c r="F1530" s="13">
        <f>F1531+F1533+F1532</f>
        <v>147.83</v>
      </c>
      <c r="G1530" s="13">
        <f>F1530/1771.82/12*1000</f>
        <v>6.952831927998706</v>
      </c>
    </row>
    <row r="1531" spans="2:7" ht="12.75">
      <c r="B1531" s="2"/>
      <c r="C1531" s="15" t="s">
        <v>22</v>
      </c>
      <c r="D1531" s="9">
        <f>E1531*D1519*12/1000</f>
        <v>111.41204160000001</v>
      </c>
      <c r="E1531" s="13">
        <v>5.24</v>
      </c>
      <c r="F1531" s="8">
        <f>79.45+24.2+3.48+10.7+1.44+7+0.9+10.5+5+0.18+1.24</f>
        <v>144.09000000000003</v>
      </c>
      <c r="G1531" s="13">
        <f>F1531/1771.82/12*1000</f>
        <v>6.776929936449528</v>
      </c>
    </row>
    <row r="1532" spans="2:7" ht="12.75">
      <c r="B1532" s="2"/>
      <c r="C1532" s="15" t="s">
        <v>23</v>
      </c>
      <c r="D1532" s="9">
        <f>E1532*D1519*12/1000</f>
        <v>19.7735112</v>
      </c>
      <c r="E1532" s="13">
        <v>0.93</v>
      </c>
      <c r="F1532" s="9">
        <v>3.2</v>
      </c>
      <c r="G1532" s="13">
        <f>F1532/1771.82/12*1000</f>
        <v>0.15050437779608916</v>
      </c>
    </row>
    <row r="1533" spans="2:7" ht="12.75">
      <c r="B1533" s="2"/>
      <c r="C1533" s="20" t="s">
        <v>24</v>
      </c>
      <c r="D1533" s="9">
        <v>1.7000000000000002</v>
      </c>
      <c r="E1533" s="13">
        <f>D1533/1771.82/12*1000</f>
        <v>0.07995545070417237</v>
      </c>
      <c r="F1533" s="9">
        <v>0.54</v>
      </c>
      <c r="G1533" s="13">
        <f>F1533/1771.82/12*1000</f>
        <v>0.025397613753090045</v>
      </c>
    </row>
    <row r="1534" spans="2:7" ht="12.75">
      <c r="B1534" s="11" t="s">
        <v>25</v>
      </c>
      <c r="C1534" s="11"/>
      <c r="D1534" s="13">
        <f>E1534*D1519*12/1000</f>
        <v>12.544485599999998</v>
      </c>
      <c r="E1534" s="13">
        <v>0.59</v>
      </c>
      <c r="F1534" s="13">
        <v>13.33</v>
      </c>
      <c r="G1534" s="13">
        <f>F1534/1771.82/12*1000</f>
        <v>0.6269447987568338</v>
      </c>
    </row>
    <row r="1535" spans="2:7" ht="12.75">
      <c r="B1535" s="21" t="s">
        <v>26</v>
      </c>
      <c r="C1535" s="21"/>
      <c r="D1535" s="13">
        <f>E1535*D1519*12/1000</f>
        <v>65.69908559999999</v>
      </c>
      <c r="E1535" s="13">
        <v>3.09</v>
      </c>
      <c r="F1535" s="1">
        <f>11.9+54.64</f>
        <v>66.54</v>
      </c>
      <c r="G1535" s="13">
        <f>F1535/1771.82/12*1000</f>
        <v>3.129550405797429</v>
      </c>
    </row>
    <row r="1536" spans="2:7" ht="12.75">
      <c r="B1536" s="2"/>
      <c r="C1536" s="10" t="s">
        <v>28</v>
      </c>
      <c r="D1536" s="12">
        <f>D1525+D1526+D1530+D1534+D1535</f>
        <v>388.0487104</v>
      </c>
      <c r="E1536" s="12">
        <f>E1525+E1526+E1530+E1534+E1535</f>
        <v>18.250946785414623</v>
      </c>
      <c r="F1536" s="12">
        <f>F1525+F1526+F1530+F1534+F1535</f>
        <v>424.82000000000005</v>
      </c>
      <c r="G1536" s="13">
        <f>G1525+G1526+G1530+G1534+G1535</f>
        <v>19.980396804792058</v>
      </c>
    </row>
    <row r="1537" spans="2:7" ht="12.75">
      <c r="B1537" s="2">
        <v>4</v>
      </c>
      <c r="C1537" s="10" t="s">
        <v>29</v>
      </c>
      <c r="D1537" s="12">
        <v>38.78</v>
      </c>
      <c r="E1537" s="12">
        <v>1.8</v>
      </c>
      <c r="F1537" s="12"/>
      <c r="G1537" s="12"/>
    </row>
    <row r="1538" spans="2:7" ht="12.75">
      <c r="B1538" s="5">
        <v>5</v>
      </c>
      <c r="C1538" s="10" t="s">
        <v>13</v>
      </c>
      <c r="D1538" s="13">
        <f>D1536+D1537</f>
        <v>426.8287104</v>
      </c>
      <c r="E1538" s="13">
        <f>E1536+E1537</f>
        <v>20.050946785414624</v>
      </c>
      <c r="F1538" s="13">
        <f>F1536-F1522/1000</f>
        <v>-21.865359999999953</v>
      </c>
      <c r="G1538" s="13"/>
    </row>
    <row r="1539" spans="2:7" ht="12.75">
      <c r="B1539" s="5"/>
      <c r="C1539" s="10"/>
      <c r="D1539" s="13"/>
      <c r="E1539" s="13"/>
      <c r="F1539" s="13"/>
      <c r="G1539" s="13"/>
    </row>
    <row r="1540" spans="2:7" ht="12.75">
      <c r="B1540" s="5"/>
      <c r="C1540" s="14" t="s">
        <v>38</v>
      </c>
      <c r="D1540" s="13"/>
      <c r="E1540" s="13"/>
      <c r="F1540" s="37">
        <v>41.8</v>
      </c>
      <c r="G1540" s="13"/>
    </row>
    <row r="1541" spans="2:7" ht="12.75">
      <c r="B1541" s="23" t="s">
        <v>39</v>
      </c>
      <c r="C1541" s="23"/>
      <c r="D1541" s="23"/>
      <c r="E1541" s="23"/>
      <c r="F1541" s="23"/>
      <c r="G1541" s="23"/>
    </row>
    <row r="1543" spans="2:7" ht="12.75">
      <c r="B1543" s="1" t="s">
        <v>0</v>
      </c>
      <c r="C1543" s="1"/>
      <c r="D1543" s="1"/>
      <c r="E1543" s="1"/>
      <c r="F1543" s="1"/>
      <c r="G1543" s="1"/>
    </row>
    <row r="1544" spans="2:7" ht="12.75">
      <c r="B1544" s="1" t="s">
        <v>51</v>
      </c>
      <c r="C1544" s="1"/>
      <c r="D1544" s="1"/>
      <c r="E1544" s="1"/>
      <c r="F1544" s="1"/>
      <c r="G1544" s="1"/>
    </row>
    <row r="1545" spans="2:7" ht="12.75">
      <c r="B1545" s="1" t="s">
        <v>116</v>
      </c>
      <c r="C1545" s="1"/>
      <c r="D1545" s="1"/>
      <c r="E1545" s="1"/>
      <c r="F1545" s="1"/>
      <c r="G1545" s="1"/>
    </row>
    <row r="1546" spans="2:7" ht="12.75" customHeight="1">
      <c r="B1546" s="2"/>
      <c r="C1546" s="2" t="s">
        <v>3</v>
      </c>
      <c r="D1546" s="3" t="s">
        <v>41</v>
      </c>
      <c r="E1546" s="3"/>
      <c r="F1546" s="4" t="s">
        <v>109</v>
      </c>
      <c r="G1546" s="4"/>
    </row>
    <row r="1547" spans="2:7" ht="12.75">
      <c r="B1547" s="2"/>
      <c r="C1547" s="2"/>
      <c r="D1547" s="3" t="s">
        <v>6</v>
      </c>
      <c r="E1547" s="3" t="s">
        <v>7</v>
      </c>
      <c r="F1547" s="3" t="s">
        <v>6</v>
      </c>
      <c r="G1547" s="3" t="s">
        <v>8</v>
      </c>
    </row>
    <row r="1548" spans="2:7" ht="12.75">
      <c r="B1548" s="5">
        <v>1</v>
      </c>
      <c r="C1548" s="6" t="s">
        <v>9</v>
      </c>
      <c r="D1548" s="12">
        <v>2010.4</v>
      </c>
      <c r="E1548" s="12"/>
      <c r="F1548" s="12">
        <v>2010.4</v>
      </c>
      <c r="G1548" s="12"/>
    </row>
    <row r="1549" spans="2:7" ht="12.75">
      <c r="B1549" s="5">
        <v>2</v>
      </c>
      <c r="C1549" s="7" t="s">
        <v>117</v>
      </c>
      <c r="D1549" s="8"/>
      <c r="E1549" s="8"/>
      <c r="F1549" s="8" t="s">
        <v>3</v>
      </c>
      <c r="G1549" s="8"/>
    </row>
    <row r="1550" spans="2:7" ht="12.75">
      <c r="B1550" s="5"/>
      <c r="C1550" s="20" t="s">
        <v>11</v>
      </c>
      <c r="D1550" s="9"/>
      <c r="E1550" s="9"/>
      <c r="F1550" s="9">
        <v>566270.76</v>
      </c>
      <c r="G1550" s="9"/>
    </row>
    <row r="1551" spans="2:7" ht="12.75">
      <c r="B1551" s="5"/>
      <c r="C1551" s="34" t="s">
        <v>118</v>
      </c>
      <c r="D1551" s="9"/>
      <c r="E1551" s="9"/>
      <c r="F1551" s="9">
        <v>514172.62</v>
      </c>
      <c r="G1551" s="9"/>
    </row>
    <row r="1552" spans="2:7" ht="12.75">
      <c r="B1552" s="5"/>
      <c r="C1552" s="34" t="s">
        <v>13</v>
      </c>
      <c r="D1552" s="9"/>
      <c r="E1552" s="9"/>
      <c r="F1552" s="9">
        <f>F1551-F1550</f>
        <v>-52098.140000000014</v>
      </c>
      <c r="G1552" s="9"/>
    </row>
    <row r="1553" spans="2:7" ht="12.75">
      <c r="B1553" s="5">
        <v>3</v>
      </c>
      <c r="C1553" s="10" t="s">
        <v>14</v>
      </c>
      <c r="D1553" s="1" t="s">
        <v>15</v>
      </c>
      <c r="E1553" s="1"/>
      <c r="F1553" s="1" t="s">
        <v>15</v>
      </c>
      <c r="G1553" s="1"/>
    </row>
    <row r="1554" spans="2:7" ht="12.75">
      <c r="B1554" s="11" t="s">
        <v>16</v>
      </c>
      <c r="C1554" s="11"/>
      <c r="D1554" s="13">
        <v>67</v>
      </c>
      <c r="E1554" s="13">
        <f>D1554/2010.4/12*1000</f>
        <v>2.7772250961666</v>
      </c>
      <c r="F1554" s="13">
        <v>76.45</v>
      </c>
      <c r="G1554" s="13">
        <f>F1554/2010.4/12*1000</f>
        <v>3.1689381880886054</v>
      </c>
    </row>
    <row r="1555" spans="2:7" ht="12.75" customHeight="1">
      <c r="B1555" s="14" t="s">
        <v>17</v>
      </c>
      <c r="C1555" s="14"/>
      <c r="D1555" s="1">
        <f>D1556+D1557+D1558</f>
        <v>144.8</v>
      </c>
      <c r="E1555" s="13">
        <f>D1555/2010.4/12*1000</f>
        <v>6.002122297386922</v>
      </c>
      <c r="F1555" s="12">
        <f>F1556+F1557+F1558</f>
        <v>281.44</v>
      </c>
      <c r="G1555" s="13">
        <f>F1555/2010.4/12*1000</f>
        <v>11.666003448733253</v>
      </c>
    </row>
    <row r="1556" spans="2:7" ht="12.75">
      <c r="B1556" s="2"/>
      <c r="C1556" s="15" t="s">
        <v>18</v>
      </c>
      <c r="D1556" s="9">
        <v>105</v>
      </c>
      <c r="E1556" s="13">
        <f>D1556/2010.4/12*1000</f>
        <v>4.352367688022284</v>
      </c>
      <c r="F1556" s="9">
        <f>38.6+1.84+64.6</f>
        <v>105.03999999999999</v>
      </c>
      <c r="G1556" s="13">
        <f>F1556/2010.4/12*1000</f>
        <v>4.354025732855816</v>
      </c>
    </row>
    <row r="1557" spans="2:7" ht="12.75">
      <c r="B1557" s="2"/>
      <c r="C1557" s="15" t="s">
        <v>19</v>
      </c>
      <c r="D1557" s="18">
        <v>39.8</v>
      </c>
      <c r="E1557" s="13">
        <f>D1557/2010.4/12*1000</f>
        <v>1.649754609364637</v>
      </c>
      <c r="F1557" s="45">
        <v>176.4</v>
      </c>
      <c r="G1557" s="13">
        <f>F1557/2010.4/12*1000</f>
        <v>7.311977715877437</v>
      </c>
    </row>
    <row r="1558" spans="2:7" ht="12.75">
      <c r="B1558" s="32" t="s">
        <v>20</v>
      </c>
      <c r="C1558" s="32"/>
      <c r="D1558" s="18">
        <v>0</v>
      </c>
      <c r="E1558" s="13">
        <f>D1558/2010.4/12*1000</f>
        <v>0</v>
      </c>
      <c r="F1558" s="18">
        <v>0</v>
      </c>
      <c r="G1558" s="13">
        <f>F1558/2010.4/12*1000</f>
        <v>0</v>
      </c>
    </row>
    <row r="1559" spans="2:7" ht="12.75" customHeight="1">
      <c r="B1559" s="19" t="s">
        <v>21</v>
      </c>
      <c r="C1559" s="19"/>
      <c r="D1559" s="13">
        <f>D1560+D1562+D1561</f>
        <v>150.73000000000002</v>
      </c>
      <c r="E1559" s="13">
        <f>D1559/2010.4/12*1000</f>
        <v>6.247927443958085</v>
      </c>
      <c r="F1559" s="13">
        <f>F1560+F1562+F1561</f>
        <v>159.47999999999996</v>
      </c>
      <c r="G1559" s="13">
        <f>F1559/2010.4/12*1000</f>
        <v>6.610624751293273</v>
      </c>
    </row>
    <row r="1560" spans="2:7" ht="12.75">
      <c r="B1560" s="2"/>
      <c r="C1560" s="15" t="s">
        <v>22</v>
      </c>
      <c r="D1560" s="9">
        <v>126.4</v>
      </c>
      <c r="E1560" s="13">
        <f>D1560/2010.4/12*1000</f>
        <v>5.239421673962064</v>
      </c>
      <c r="F1560" s="8">
        <f>90.1+27.5+3.94+12.16+1.64+15.63+0.2+1.41</f>
        <v>152.57999999999996</v>
      </c>
      <c r="G1560" s="13">
        <f>F1560/2010.4/12*1000</f>
        <v>6.324612017508952</v>
      </c>
    </row>
    <row r="1561" spans="2:7" ht="12.75">
      <c r="B1561" s="2"/>
      <c r="C1561" s="15" t="s">
        <v>23</v>
      </c>
      <c r="D1561" s="9">
        <v>22.4</v>
      </c>
      <c r="E1561" s="13">
        <f>D1561/2010.4/12*1000</f>
        <v>0.9285051067780872</v>
      </c>
      <c r="F1561" s="9">
        <v>6.15</v>
      </c>
      <c r="G1561" s="13">
        <f>F1561/2010.4/12*1000</f>
        <v>0.25492439315559096</v>
      </c>
    </row>
    <row r="1562" spans="2:7" ht="12.75">
      <c r="B1562" s="2"/>
      <c r="C1562" s="20" t="s">
        <v>24</v>
      </c>
      <c r="D1562" s="9">
        <v>1.9300000000000002</v>
      </c>
      <c r="E1562" s="13">
        <f>D1562/2010.4/12*1000</f>
        <v>0.08000066321793342</v>
      </c>
      <c r="F1562" s="9">
        <v>0.75</v>
      </c>
      <c r="G1562" s="13">
        <f>F1562/2010.4/12*1000</f>
        <v>0.0310883406287306</v>
      </c>
    </row>
    <row r="1563" spans="2:7" ht="12.75">
      <c r="B1563" s="11" t="s">
        <v>25</v>
      </c>
      <c r="C1563" s="11"/>
      <c r="D1563" s="13">
        <v>14.9</v>
      </c>
      <c r="E1563" s="13">
        <f>D1563/2010.4/12*1000</f>
        <v>0.6176217004907812</v>
      </c>
      <c r="F1563" s="13">
        <v>15.4</v>
      </c>
      <c r="G1563" s="13">
        <f>F1563/2010.4/12*1000</f>
        <v>0.638347260909935</v>
      </c>
    </row>
    <row r="1564" spans="2:7" ht="12.75">
      <c r="B1564" s="21" t="s">
        <v>26</v>
      </c>
      <c r="C1564" s="21"/>
      <c r="D1564" s="13">
        <v>74.54</v>
      </c>
      <c r="E1564" s="13">
        <f>D1564/2010.4/12*1000</f>
        <v>3.089766547287439</v>
      </c>
      <c r="F1564" s="1">
        <f>13.5+62</f>
        <v>75.5</v>
      </c>
      <c r="G1564" s="13">
        <f>F1564/2010.4/12*1000</f>
        <v>3.1295596232922134</v>
      </c>
    </row>
    <row r="1565" spans="2:7" ht="12.75">
      <c r="B1565" s="21"/>
      <c r="C1565" s="22" t="s">
        <v>27</v>
      </c>
      <c r="D1565" s="13">
        <v>0</v>
      </c>
      <c r="E1565" s="13">
        <f>D1565/2010.4/12*1000</f>
        <v>0</v>
      </c>
      <c r="F1565" s="13">
        <v>28.2</v>
      </c>
      <c r="G1565" s="13">
        <f>F1565/2010.4/12*1000</f>
        <v>1.1689216076402706</v>
      </c>
    </row>
    <row r="1566" spans="2:7" ht="12.75">
      <c r="B1566" s="2"/>
      <c r="C1566" s="10" t="s">
        <v>28</v>
      </c>
      <c r="D1566" s="12">
        <f>D1554+D1555+D1559+D1563+D1564</f>
        <v>451.97</v>
      </c>
      <c r="E1566" s="13">
        <f>E1554+E1555+E1559+E1563+E1564</f>
        <v>18.734663085289828</v>
      </c>
      <c r="F1566" s="12">
        <f>F1554+F1555+F1559+F1563+F1564+F1565</f>
        <v>636.4699999999999</v>
      </c>
      <c r="G1566" s="13">
        <f>G1554+G1555+G1559+G1563+G1564+G1565</f>
        <v>26.382394879957552</v>
      </c>
    </row>
    <row r="1567" spans="2:7" ht="12.75">
      <c r="B1567" s="2">
        <v>4</v>
      </c>
      <c r="C1567" s="10" t="s">
        <v>29</v>
      </c>
      <c r="D1567" s="13">
        <v>45.2</v>
      </c>
      <c r="E1567" s="13">
        <v>1.87</v>
      </c>
      <c r="F1567" s="12"/>
      <c r="G1567" s="12"/>
    </row>
    <row r="1568" spans="2:7" ht="12.75">
      <c r="B1568" s="5">
        <v>5</v>
      </c>
      <c r="C1568" s="10" t="s">
        <v>13</v>
      </c>
      <c r="D1568" s="13">
        <f>D1566+D1567</f>
        <v>497.17</v>
      </c>
      <c r="E1568" s="13">
        <f>E1566+E1567</f>
        <v>20.60466308528983</v>
      </c>
      <c r="F1568" s="13">
        <f>F1566-F1551/1000</f>
        <v>122.29737999999986</v>
      </c>
      <c r="G1568" s="13"/>
    </row>
    <row r="1569" spans="2:7" ht="12.75">
      <c r="B1569" s="5"/>
      <c r="C1569" s="10"/>
      <c r="D1569" s="13"/>
      <c r="E1569" s="13"/>
      <c r="F1569" s="13"/>
      <c r="G1569" s="13"/>
    </row>
    <row r="1570" spans="2:7" ht="12.75">
      <c r="B1570" s="11" t="s">
        <v>30</v>
      </c>
      <c r="C1570" s="11"/>
      <c r="D1570" s="33" t="s">
        <v>6</v>
      </c>
      <c r="E1570" s="25"/>
      <c r="F1570" s="25"/>
      <c r="G1570" s="13"/>
    </row>
    <row r="1571" spans="2:7" ht="12.75">
      <c r="B1571" s="25"/>
      <c r="C1571" s="34" t="s">
        <v>31</v>
      </c>
      <c r="D1571" s="35">
        <v>19459.91</v>
      </c>
      <c r="E1571" s="25"/>
      <c r="F1571" s="25"/>
      <c r="G1571" s="13"/>
    </row>
    <row r="1572" spans="2:7" ht="12.75">
      <c r="B1572" s="5"/>
      <c r="C1572" s="23" t="s">
        <v>32</v>
      </c>
      <c r="D1572" s="35">
        <v>16747.43</v>
      </c>
      <c r="E1572" s="25"/>
      <c r="F1572" s="25"/>
      <c r="G1572" s="13"/>
    </row>
    <row r="1573" spans="2:7" ht="12.75">
      <c r="B1573" s="5"/>
      <c r="C1573" s="36" t="s">
        <v>13</v>
      </c>
      <c r="D1573" s="33">
        <f>D1572-D1571</f>
        <v>-2712.4799999999996</v>
      </c>
      <c r="E1573" s="25"/>
      <c r="F1573" s="25"/>
      <c r="G1573" s="13"/>
    </row>
    <row r="1574" spans="2:7" ht="12.75">
      <c r="B1574" s="5"/>
      <c r="C1574" s="34" t="s">
        <v>33</v>
      </c>
      <c r="D1574" s="35">
        <v>21530.39</v>
      </c>
      <c r="E1574" s="25"/>
      <c r="F1574" s="25"/>
      <c r="G1574" s="13"/>
    </row>
    <row r="1575" spans="2:7" ht="12.75">
      <c r="B1575" s="5"/>
      <c r="C1575" s="23" t="s">
        <v>34</v>
      </c>
      <c r="D1575" s="35">
        <v>19162.41</v>
      </c>
      <c r="E1575" s="25"/>
      <c r="F1575" s="25"/>
      <c r="G1575" s="13"/>
    </row>
    <row r="1576" spans="2:7" ht="12.75">
      <c r="B1576" s="5"/>
      <c r="C1576" s="36" t="s">
        <v>13</v>
      </c>
      <c r="D1576" s="33">
        <f>D1575-D1574</f>
        <v>-2367.9799999999996</v>
      </c>
      <c r="E1576" s="25"/>
      <c r="F1576" s="25"/>
      <c r="G1576" s="13"/>
    </row>
    <row r="1577" spans="2:7" ht="12.75">
      <c r="B1577" s="5"/>
      <c r="C1577" s="34" t="s">
        <v>42</v>
      </c>
      <c r="D1577" s="35">
        <v>16042.22</v>
      </c>
      <c r="E1577" s="25"/>
      <c r="F1577" s="25"/>
      <c r="G1577" s="13"/>
    </row>
    <row r="1578" spans="2:7" ht="12.75">
      <c r="B1578" s="5"/>
      <c r="C1578" s="23" t="s">
        <v>43</v>
      </c>
      <c r="D1578" s="35">
        <v>10088.5</v>
      </c>
      <c r="E1578" s="25"/>
      <c r="F1578" s="25"/>
      <c r="G1578" s="13"/>
    </row>
    <row r="1579" spans="2:7" ht="12.75">
      <c r="B1579" s="5"/>
      <c r="C1579" s="36" t="s">
        <v>13</v>
      </c>
      <c r="D1579" s="33">
        <f>D1578-D1577</f>
        <v>-5953.719999999999</v>
      </c>
      <c r="E1579" s="25"/>
      <c r="F1579" s="25"/>
      <c r="G1579" s="13"/>
    </row>
    <row r="1580" spans="2:7" ht="12.75">
      <c r="B1580" s="11"/>
      <c r="C1580" s="36" t="s">
        <v>35</v>
      </c>
      <c r="D1580" s="50">
        <f>D1573+D1576+D1579</f>
        <v>-11034.179999999998</v>
      </c>
      <c r="E1580" s="25"/>
      <c r="F1580" s="25"/>
      <c r="G1580" s="13"/>
    </row>
    <row r="1581" spans="2:7" ht="12.75">
      <c r="B1581" s="11"/>
      <c r="C1581" s="11"/>
      <c r="D1581" s="27"/>
      <c r="E1581" s="25"/>
      <c r="F1581" s="25"/>
      <c r="G1581" s="13"/>
    </row>
    <row r="1582" spans="2:7" ht="12.75">
      <c r="B1582" s="11"/>
      <c r="C1582" s="14" t="s">
        <v>44</v>
      </c>
      <c r="D1582" s="27" t="s">
        <v>37</v>
      </c>
      <c r="E1582" s="25"/>
      <c r="F1582" s="46">
        <v>133.33</v>
      </c>
      <c r="G1582" s="13"/>
    </row>
    <row r="1583" spans="2:7" ht="12.75">
      <c r="B1583" s="5"/>
      <c r="C1583" s="10"/>
      <c r="D1583" s="13"/>
      <c r="E1583" s="13"/>
      <c r="F1583" s="13"/>
      <c r="G1583" s="13"/>
    </row>
    <row r="1584" spans="2:7" ht="12.75">
      <c r="B1584" s="5"/>
      <c r="C1584" s="14" t="s">
        <v>38</v>
      </c>
      <c r="D1584" s="13"/>
      <c r="E1584" s="13"/>
      <c r="F1584" s="37">
        <v>543.9</v>
      </c>
      <c r="G1584" s="13"/>
    </row>
    <row r="1585" spans="2:7" ht="12.75">
      <c r="B1585" s="23" t="s">
        <v>39</v>
      </c>
      <c r="C1585" s="23"/>
      <c r="D1585" s="23"/>
      <c r="E1585" s="23"/>
      <c r="F1585" s="23"/>
      <c r="G1585" s="23"/>
    </row>
    <row r="1587" spans="2:7" ht="12.75">
      <c r="B1587" s="1" t="s">
        <v>0</v>
      </c>
      <c r="C1587" s="1"/>
      <c r="D1587" s="1"/>
      <c r="E1587" s="1"/>
      <c r="F1587" s="1"/>
      <c r="G1587" s="1"/>
    </row>
    <row r="1588" spans="2:7" ht="12.75">
      <c r="B1588" s="1" t="s">
        <v>51</v>
      </c>
      <c r="C1588" s="1"/>
      <c r="D1588" s="1"/>
      <c r="E1588" s="1"/>
      <c r="F1588" s="1"/>
      <c r="G1588" s="1"/>
    </row>
    <row r="1589" spans="2:7" ht="12.75">
      <c r="B1589" s="1" t="s">
        <v>119</v>
      </c>
      <c r="C1589" s="1"/>
      <c r="D1589" s="1"/>
      <c r="E1589" s="1"/>
      <c r="F1589" s="1"/>
      <c r="G1589" s="1"/>
    </row>
    <row r="1590" spans="2:7" ht="12.75" customHeight="1">
      <c r="B1590" s="2"/>
      <c r="C1590" s="2" t="s">
        <v>3</v>
      </c>
      <c r="D1590" s="3" t="s">
        <v>41</v>
      </c>
      <c r="E1590" s="3"/>
      <c r="F1590" s="4" t="s">
        <v>109</v>
      </c>
      <c r="G1590" s="4"/>
    </row>
    <row r="1591" spans="2:7" ht="12.75">
      <c r="B1591" s="2"/>
      <c r="C1591" s="2"/>
      <c r="D1591" s="3" t="s">
        <v>6</v>
      </c>
      <c r="E1591" s="3" t="s">
        <v>7</v>
      </c>
      <c r="F1591" s="3" t="s">
        <v>6</v>
      </c>
      <c r="G1591" s="3" t="s">
        <v>8</v>
      </c>
    </row>
    <row r="1592" spans="2:7" ht="12.75">
      <c r="B1592" s="5">
        <v>1</v>
      </c>
      <c r="C1592" s="6" t="s">
        <v>9</v>
      </c>
      <c r="D1592" s="13">
        <v>2835.6</v>
      </c>
      <c r="E1592" s="13"/>
      <c r="F1592" s="13">
        <v>2835.6</v>
      </c>
      <c r="G1592" s="13"/>
    </row>
    <row r="1593" spans="2:7" ht="12.75">
      <c r="B1593" s="5">
        <v>2</v>
      </c>
      <c r="C1593" s="7" t="s">
        <v>120</v>
      </c>
      <c r="D1593" s="8"/>
      <c r="E1593" s="8"/>
      <c r="F1593" s="8" t="s">
        <v>3</v>
      </c>
      <c r="G1593" s="8"/>
    </row>
    <row r="1594" spans="2:7" ht="12.75">
      <c r="B1594" s="5"/>
      <c r="C1594" s="20" t="s">
        <v>11</v>
      </c>
      <c r="D1594" s="9"/>
      <c r="E1594" s="9"/>
      <c r="F1594" s="9">
        <v>750299.76</v>
      </c>
      <c r="G1594" s="9"/>
    </row>
    <row r="1595" spans="2:7" ht="12.75">
      <c r="B1595" s="5"/>
      <c r="C1595" s="34" t="s">
        <v>12</v>
      </c>
      <c r="D1595" s="9"/>
      <c r="E1595" s="9"/>
      <c r="F1595" s="9">
        <v>736695.26</v>
      </c>
      <c r="G1595" s="9"/>
    </row>
    <row r="1596" spans="2:7" ht="12.75">
      <c r="B1596" s="5"/>
      <c r="C1596" s="2" t="s">
        <v>13</v>
      </c>
      <c r="D1596" s="9"/>
      <c r="E1596" s="9"/>
      <c r="F1596" s="9">
        <f>F1595-F1594</f>
        <v>-13604.5</v>
      </c>
      <c r="G1596" s="9"/>
    </row>
    <row r="1597" spans="2:7" ht="12.75">
      <c r="B1597" s="5">
        <v>3</v>
      </c>
      <c r="C1597" s="10" t="s">
        <v>14</v>
      </c>
      <c r="D1597" s="1" t="s">
        <v>15</v>
      </c>
      <c r="E1597" s="1"/>
      <c r="F1597" s="1" t="s">
        <v>15</v>
      </c>
      <c r="G1597" s="1"/>
    </row>
    <row r="1598" spans="2:7" ht="12.75">
      <c r="B1598" s="11" t="s">
        <v>16</v>
      </c>
      <c r="C1598" s="11"/>
      <c r="D1598" s="13">
        <f>E1598*D1592*12/1000</f>
        <v>92.213712</v>
      </c>
      <c r="E1598" s="13">
        <v>2.71</v>
      </c>
      <c r="F1598" s="13">
        <v>101.3</v>
      </c>
      <c r="G1598" s="13">
        <f>F1598/2835.6/12*1000</f>
        <v>2.9770301405934076</v>
      </c>
    </row>
    <row r="1599" spans="2:7" ht="12.75" customHeight="1">
      <c r="B1599" s="14" t="s">
        <v>17</v>
      </c>
      <c r="C1599" s="14"/>
      <c r="D1599" s="1">
        <f>D1600+D1601+D1602</f>
        <v>190.9</v>
      </c>
      <c r="E1599" s="13">
        <f>D1599/2835.6/12*1000</f>
        <v>5.610217708186392</v>
      </c>
      <c r="F1599" s="12">
        <f>F1600+F1601+F1602</f>
        <v>327.4</v>
      </c>
      <c r="G1599" s="13">
        <f>F1599/2835.6/12*1000</f>
        <v>9.62171439319133</v>
      </c>
    </row>
    <row r="1600" spans="2:7" ht="12.75">
      <c r="B1600" s="2"/>
      <c r="C1600" s="15" t="s">
        <v>18</v>
      </c>
      <c r="D1600" s="9">
        <v>148</v>
      </c>
      <c r="E1600" s="13">
        <v>4.2</v>
      </c>
      <c r="F1600" s="9">
        <f>54.4+6.4+91.1</f>
        <v>151.89999999999998</v>
      </c>
      <c r="G1600" s="13">
        <f>F1600/2835.6/12*1000</f>
        <v>4.464075798184981</v>
      </c>
    </row>
    <row r="1601" spans="2:7" ht="12.75">
      <c r="B1601" s="2"/>
      <c r="C1601" s="15" t="s">
        <v>19</v>
      </c>
      <c r="D1601" s="18">
        <v>42.9</v>
      </c>
      <c r="E1601" s="13">
        <v>1.4</v>
      </c>
      <c r="F1601" s="45">
        <v>175.5</v>
      </c>
      <c r="G1601" s="13">
        <f>F1601/2835.6/12*1000</f>
        <v>5.157638595006348</v>
      </c>
    </row>
    <row r="1602" spans="2:7" ht="12.75">
      <c r="B1602" s="32" t="s">
        <v>20</v>
      </c>
      <c r="C1602" s="32"/>
      <c r="D1602" s="18">
        <v>0</v>
      </c>
      <c r="E1602" s="13">
        <f>D1602/2834.32/12*1000</f>
        <v>0</v>
      </c>
      <c r="F1602" s="18">
        <v>0</v>
      </c>
      <c r="G1602" s="13">
        <f>F1602/2835.6/12*1000</f>
        <v>0</v>
      </c>
    </row>
    <row r="1603" spans="2:7" ht="12.75" customHeight="1">
      <c r="B1603" s="19" t="s">
        <v>21</v>
      </c>
      <c r="C1603" s="19"/>
      <c r="D1603" s="13">
        <f>D1604+D1606+D1605</f>
        <v>212.667824</v>
      </c>
      <c r="E1603" s="13">
        <f>D1603/2835.6/12*1000</f>
        <v>6.249936051159072</v>
      </c>
      <c r="F1603" s="13">
        <f>F1604+F1606+F1605</f>
        <v>210.87</v>
      </c>
      <c r="G1603" s="13">
        <f>F1603/2835.6/12*1000</f>
        <v>6.1971011426153195</v>
      </c>
    </row>
    <row r="1604" spans="2:7" ht="12.75">
      <c r="B1604" s="2"/>
      <c r="C1604" s="15" t="s">
        <v>22</v>
      </c>
      <c r="D1604" s="9">
        <f>E1604*D1592*12/1000</f>
        <v>178.302528</v>
      </c>
      <c r="E1604" s="13">
        <v>5.24</v>
      </c>
      <c r="F1604" s="8">
        <f>127.15+38.8+5.56+17.15+2.3+4.2+1.46+0.2+0.3+2</f>
        <v>199.12</v>
      </c>
      <c r="G1604" s="13">
        <f>F1604/2835.6/12*1000</f>
        <v>5.851789156909767</v>
      </c>
    </row>
    <row r="1605" spans="2:7" ht="12.75">
      <c r="B1605" s="2"/>
      <c r="C1605" s="15" t="s">
        <v>23</v>
      </c>
      <c r="D1605" s="9">
        <f>E1605*D1592*12/1000</f>
        <v>31.645296000000002</v>
      </c>
      <c r="E1605" s="13">
        <v>0.93</v>
      </c>
      <c r="F1605" s="9">
        <v>10.6</v>
      </c>
      <c r="G1605" s="13">
        <f>F1605/2835.6/12*1000</f>
        <v>0.31151549348756286</v>
      </c>
    </row>
    <row r="1606" spans="2:7" ht="12.75">
      <c r="B1606" s="2"/>
      <c r="C1606" s="20" t="s">
        <v>24</v>
      </c>
      <c r="D1606" s="9">
        <v>2.72</v>
      </c>
      <c r="E1606" s="13">
        <f>D1606/2834.32/12*1000</f>
        <v>0.07997215087451899</v>
      </c>
      <c r="F1606" s="9">
        <v>1.15</v>
      </c>
      <c r="G1606" s="13">
        <f>F1606/2835.6/12*1000</f>
        <v>0.03379649221799031</v>
      </c>
    </row>
    <row r="1607" spans="2:7" ht="12.75">
      <c r="B1607" s="11" t="s">
        <v>25</v>
      </c>
      <c r="C1607" s="11"/>
      <c r="D1607" s="13">
        <f>E1607*D1592*12/1000</f>
        <v>20.076048</v>
      </c>
      <c r="E1607" s="13">
        <v>0.59</v>
      </c>
      <c r="F1607" s="13">
        <v>22.03</v>
      </c>
      <c r="G1607" s="13">
        <f>F1607/2835.6/12*1000</f>
        <v>0.647423237880284</v>
      </c>
    </row>
    <row r="1608" spans="2:7" ht="12.75">
      <c r="B1608" s="21" t="s">
        <v>26</v>
      </c>
      <c r="C1608" s="21"/>
      <c r="D1608" s="13">
        <f>E1608*D1592*12/1000</f>
        <v>105.14404799999998</v>
      </c>
      <c r="E1608" s="13">
        <v>3.09</v>
      </c>
      <c r="F1608" s="1">
        <f>19.06+87.45</f>
        <v>106.51</v>
      </c>
      <c r="G1608" s="13">
        <f>F1608/2835.6/12*1000</f>
        <v>3.1301429444679556</v>
      </c>
    </row>
    <row r="1609" spans="2:7" ht="12.75">
      <c r="B1609" s="2"/>
      <c r="C1609" s="10" t="s">
        <v>28</v>
      </c>
      <c r="D1609" s="12">
        <f>D1598+D1599+D1603+D1607+D1608</f>
        <v>621.001632</v>
      </c>
      <c r="E1609" s="12">
        <f>E1598+E1599+E1603+E1607+E1608</f>
        <v>18.250153759345462</v>
      </c>
      <c r="F1609" s="12">
        <f>F1598+F1599+F1603+F1607+F1608</f>
        <v>768.1099999999999</v>
      </c>
      <c r="G1609" s="13">
        <f>G1598+G1599+G1603+G1607+G1608</f>
        <v>22.573411858748294</v>
      </c>
    </row>
    <row r="1610" spans="2:7" ht="12.75">
      <c r="B1610" s="2">
        <v>4</v>
      </c>
      <c r="C1610" s="10" t="s">
        <v>29</v>
      </c>
      <c r="D1610" s="13">
        <v>62.07</v>
      </c>
      <c r="E1610" s="12">
        <v>1.8</v>
      </c>
      <c r="F1610" s="12"/>
      <c r="G1610" s="12"/>
    </row>
    <row r="1611" spans="2:7" ht="12.75">
      <c r="B1611" s="5">
        <v>5</v>
      </c>
      <c r="C1611" s="10" t="s">
        <v>13</v>
      </c>
      <c r="D1611" s="13">
        <f>D1609+D1610</f>
        <v>683.071632</v>
      </c>
      <c r="E1611" s="13">
        <f>E1609+E1610</f>
        <v>20.050153759345463</v>
      </c>
      <c r="F1611" s="13">
        <f>F1609-F1595/1000</f>
        <v>31.414739999999938</v>
      </c>
      <c r="G1611" s="13"/>
    </row>
    <row r="1612" spans="2:7" ht="12.75">
      <c r="B1612" s="5"/>
      <c r="C1612" s="10"/>
      <c r="D1612" s="13"/>
      <c r="E1612" s="13"/>
      <c r="F1612" s="13"/>
      <c r="G1612" s="13"/>
    </row>
    <row r="1613" spans="2:7" ht="12.75">
      <c r="B1613" s="11" t="s">
        <v>30</v>
      </c>
      <c r="C1613" s="11"/>
      <c r="D1613" s="33" t="s">
        <v>6</v>
      </c>
      <c r="E1613" s="25"/>
      <c r="F1613" s="25"/>
      <c r="G1613" s="13"/>
    </row>
    <row r="1614" spans="2:7" ht="12.75">
      <c r="B1614" s="25"/>
      <c r="C1614" s="34" t="s">
        <v>31</v>
      </c>
      <c r="D1614" s="35">
        <v>29462.13</v>
      </c>
      <c r="E1614" s="25"/>
      <c r="F1614" s="25"/>
      <c r="G1614" s="13"/>
    </row>
    <row r="1615" spans="2:7" ht="12.75">
      <c r="B1615" s="5"/>
      <c r="C1615" s="23" t="s">
        <v>32</v>
      </c>
      <c r="D1615" s="35">
        <v>28136.6</v>
      </c>
      <c r="E1615" s="25"/>
      <c r="F1615" s="25"/>
      <c r="G1615" s="13"/>
    </row>
    <row r="1616" spans="2:7" ht="12.75">
      <c r="B1616" s="5"/>
      <c r="C1616" s="36" t="s">
        <v>13</v>
      </c>
      <c r="D1616" s="33">
        <f>D1615-D1614</f>
        <v>-1325.5300000000025</v>
      </c>
      <c r="E1616" s="25"/>
      <c r="F1616" s="25"/>
      <c r="G1616" s="13"/>
    </row>
    <row r="1617" spans="2:7" ht="12.75">
      <c r="B1617" s="5"/>
      <c r="C1617" s="34" t="s">
        <v>33</v>
      </c>
      <c r="D1617" s="35">
        <v>32552.83</v>
      </c>
      <c r="E1617" s="25"/>
      <c r="F1617" s="25"/>
      <c r="G1617" s="13"/>
    </row>
    <row r="1618" spans="2:7" ht="12.75">
      <c r="B1618" s="5"/>
      <c r="C1618" s="23" t="s">
        <v>34</v>
      </c>
      <c r="D1618" s="35">
        <v>31116.33</v>
      </c>
      <c r="E1618" s="25"/>
      <c r="F1618" s="25"/>
      <c r="G1618" s="13"/>
    </row>
    <row r="1619" spans="2:7" ht="12.75">
      <c r="B1619" s="5"/>
      <c r="C1619" s="36" t="s">
        <v>13</v>
      </c>
      <c r="D1619" s="33">
        <f>D1618-D1617</f>
        <v>-1436.5</v>
      </c>
      <c r="E1619" s="25"/>
      <c r="F1619" s="25"/>
      <c r="G1619" s="13"/>
    </row>
    <row r="1620" spans="2:7" ht="12.75">
      <c r="B1620" s="5"/>
      <c r="C1620" s="34" t="s">
        <v>42</v>
      </c>
      <c r="D1620" s="35">
        <v>34707.86</v>
      </c>
      <c r="E1620" s="25"/>
      <c r="F1620" s="25"/>
      <c r="G1620" s="13"/>
    </row>
    <row r="1621" spans="2:7" ht="12.75">
      <c r="B1621" s="5"/>
      <c r="C1621" s="23" t="s">
        <v>43</v>
      </c>
      <c r="D1621" s="35">
        <v>22605.98</v>
      </c>
      <c r="E1621" s="25"/>
      <c r="F1621" s="25"/>
      <c r="G1621" s="13"/>
    </row>
    <row r="1622" spans="2:7" ht="12.75">
      <c r="B1622" s="5"/>
      <c r="C1622" s="36" t="s">
        <v>13</v>
      </c>
      <c r="D1622" s="33">
        <f>D1621-D1620</f>
        <v>-12101.880000000001</v>
      </c>
      <c r="E1622" s="25"/>
      <c r="F1622" s="25"/>
      <c r="G1622" s="13"/>
    </row>
    <row r="1623" spans="2:7" ht="12.75">
      <c r="B1623" s="11"/>
      <c r="C1623" s="36" t="s">
        <v>35</v>
      </c>
      <c r="D1623" s="50">
        <f>D1616+D1619+D1622</f>
        <v>-14863.910000000003</v>
      </c>
      <c r="E1623" s="25"/>
      <c r="F1623" s="25"/>
      <c r="G1623" s="13"/>
    </row>
    <row r="1624" spans="2:7" ht="12.75">
      <c r="B1624" s="11"/>
      <c r="C1624" s="11"/>
      <c r="D1624" s="27"/>
      <c r="E1624" s="25"/>
      <c r="F1624" s="25"/>
      <c r="G1624" s="13"/>
    </row>
    <row r="1625" spans="2:7" ht="12.75">
      <c r="B1625" s="11"/>
      <c r="C1625" s="14" t="s">
        <v>44</v>
      </c>
      <c r="D1625" s="27" t="s">
        <v>37</v>
      </c>
      <c r="E1625" s="25"/>
      <c r="F1625" s="46">
        <v>46.27</v>
      </c>
      <c r="G1625" s="13"/>
    </row>
    <row r="1626" spans="2:7" ht="12.75">
      <c r="B1626" s="5"/>
      <c r="C1626" s="14" t="s">
        <v>121</v>
      </c>
      <c r="D1626" s="13"/>
      <c r="E1626" s="13"/>
      <c r="F1626" s="37">
        <v>147.7</v>
      </c>
      <c r="G1626" s="13"/>
    </row>
    <row r="1627" spans="2:7" ht="12.75">
      <c r="B1627" s="23" t="s">
        <v>39</v>
      </c>
      <c r="C1627" s="23"/>
      <c r="D1627" s="23"/>
      <c r="E1627" s="23"/>
      <c r="F1627" s="23"/>
      <c r="G1627" s="23"/>
    </row>
    <row r="1629" spans="2:7" ht="12.75">
      <c r="B1629" s="1" t="s">
        <v>0</v>
      </c>
      <c r="C1629" s="1"/>
      <c r="D1629" s="1"/>
      <c r="E1629" s="1"/>
      <c r="F1629" s="1"/>
      <c r="G1629" s="1"/>
    </row>
    <row r="1630" spans="2:7" ht="12.75">
      <c r="B1630" s="1" t="s">
        <v>51</v>
      </c>
      <c r="C1630" s="1"/>
      <c r="D1630" s="1"/>
      <c r="E1630" s="1"/>
      <c r="F1630" s="1"/>
      <c r="G1630" s="1"/>
    </row>
    <row r="1631" spans="2:7" ht="12.75">
      <c r="B1631" s="1" t="s">
        <v>122</v>
      </c>
      <c r="C1631" s="1"/>
      <c r="D1631" s="1"/>
      <c r="E1631" s="1"/>
      <c r="F1631" s="1"/>
      <c r="G1631" s="1"/>
    </row>
    <row r="1632" spans="2:7" ht="12.75" customHeight="1">
      <c r="B1632" s="2"/>
      <c r="C1632" s="2" t="s">
        <v>3</v>
      </c>
      <c r="D1632" s="3" t="s">
        <v>41</v>
      </c>
      <c r="E1632" s="3"/>
      <c r="F1632" s="4" t="s">
        <v>109</v>
      </c>
      <c r="G1632" s="4"/>
    </row>
    <row r="1633" spans="2:7" ht="12.75">
      <c r="B1633" s="2"/>
      <c r="C1633" s="2"/>
      <c r="D1633" s="3" t="s">
        <v>6</v>
      </c>
      <c r="E1633" s="3" t="s">
        <v>7</v>
      </c>
      <c r="F1633" s="3" t="s">
        <v>6</v>
      </c>
      <c r="G1633" s="3" t="s">
        <v>8</v>
      </c>
    </row>
    <row r="1634" spans="2:7" ht="12.75">
      <c r="B1634" s="5">
        <v>1</v>
      </c>
      <c r="C1634" s="6" t="s">
        <v>9</v>
      </c>
      <c r="D1634" s="13">
        <v>2865.78</v>
      </c>
      <c r="E1634" s="13"/>
      <c r="F1634" s="13">
        <v>2865.78</v>
      </c>
      <c r="G1634" s="13"/>
    </row>
    <row r="1635" spans="2:7" ht="12.75">
      <c r="B1635" s="5">
        <v>2</v>
      </c>
      <c r="C1635" s="7" t="s">
        <v>123</v>
      </c>
      <c r="D1635" s="8"/>
      <c r="E1635" s="8"/>
      <c r="F1635" s="8" t="s">
        <v>3</v>
      </c>
      <c r="G1635" s="8"/>
    </row>
    <row r="1636" spans="2:7" ht="12.75">
      <c r="B1636" s="5"/>
      <c r="C1636" s="20" t="s">
        <v>56</v>
      </c>
      <c r="D1636" s="9"/>
      <c r="E1636" s="9"/>
      <c r="F1636" s="9">
        <v>641737.8</v>
      </c>
      <c r="G1636" s="9"/>
    </row>
    <row r="1637" spans="2:7" ht="12.75">
      <c r="B1637" s="5"/>
      <c r="C1637" s="34" t="s">
        <v>57</v>
      </c>
      <c r="D1637" s="9"/>
      <c r="E1637" s="9"/>
      <c r="F1637" s="9">
        <v>671243.67</v>
      </c>
      <c r="G1637" s="9"/>
    </row>
    <row r="1638" spans="2:7" ht="12.75">
      <c r="B1638" s="5"/>
      <c r="C1638" s="2" t="s">
        <v>13</v>
      </c>
      <c r="D1638" s="9"/>
      <c r="E1638" s="9"/>
      <c r="F1638" s="9">
        <f>F1637-F1636</f>
        <v>29505.869999999995</v>
      </c>
      <c r="G1638" s="9"/>
    </row>
    <row r="1639" spans="2:7" ht="12.75">
      <c r="B1639" s="5">
        <v>3</v>
      </c>
      <c r="C1639" s="10" t="s">
        <v>14</v>
      </c>
      <c r="D1639" s="1" t="s">
        <v>15</v>
      </c>
      <c r="E1639" s="1"/>
      <c r="F1639" s="1" t="s">
        <v>15</v>
      </c>
      <c r="G1639" s="1"/>
    </row>
    <row r="1640" spans="2:7" ht="12.75">
      <c r="B1640" s="11" t="s">
        <v>16</v>
      </c>
      <c r="C1640" s="11"/>
      <c r="D1640" s="13">
        <v>87.2</v>
      </c>
      <c r="E1640" s="13">
        <f>D1640/2865.78/12*1000</f>
        <v>2.535668008942301</v>
      </c>
      <c r="F1640" s="13">
        <v>86.6</v>
      </c>
      <c r="G1640" s="13">
        <f>F1640/2865.78/12*1000</f>
        <v>2.5182207520000373</v>
      </c>
    </row>
    <row r="1641" spans="2:7" ht="12.75" customHeight="1">
      <c r="B1641" s="14" t="s">
        <v>17</v>
      </c>
      <c r="C1641" s="14"/>
      <c r="D1641" s="1">
        <f>D1642+D1643+D1644</f>
        <v>159</v>
      </c>
      <c r="E1641" s="13">
        <f>D1641/2865.78/12*1000</f>
        <v>4.623523089699837</v>
      </c>
      <c r="F1641" s="12">
        <f>F1642+F1643+F1644</f>
        <v>205.53</v>
      </c>
      <c r="G1641" s="13">
        <f>F1641/2865.78/12*1000</f>
        <v>5.976557865572374</v>
      </c>
    </row>
    <row r="1642" spans="2:7" ht="12.75">
      <c r="B1642" s="2"/>
      <c r="C1642" s="15" t="s">
        <v>18</v>
      </c>
      <c r="D1642" s="9">
        <v>149.7</v>
      </c>
      <c r="E1642" s="13">
        <f>D1642/2865.78/12*1000</f>
        <v>4.353090607094752</v>
      </c>
      <c r="F1642" s="9">
        <f>55+6.46+92.07</f>
        <v>153.53</v>
      </c>
      <c r="G1642" s="13">
        <f>F1642/2865.78/12*1000</f>
        <v>4.464462263909534</v>
      </c>
    </row>
    <row r="1643" spans="2:7" ht="12.75">
      <c r="B1643" s="2"/>
      <c r="C1643" s="15" t="s">
        <v>19</v>
      </c>
      <c r="D1643" s="18">
        <v>9.3</v>
      </c>
      <c r="E1643" s="13">
        <f>D1643/2865.78/12*1000</f>
        <v>0.27043248260508485</v>
      </c>
      <c r="F1643" s="45">
        <v>52</v>
      </c>
      <c r="G1643" s="13">
        <f>F1643/2865.78/12*1000</f>
        <v>1.5120956016628397</v>
      </c>
    </row>
    <row r="1644" spans="2:7" ht="12.75">
      <c r="B1644" s="32" t="s">
        <v>20</v>
      </c>
      <c r="C1644" s="32"/>
      <c r="D1644" s="18">
        <v>0</v>
      </c>
      <c r="E1644" s="13">
        <f>D1644/2865.78/12*1000</f>
        <v>0</v>
      </c>
      <c r="F1644" s="18">
        <v>0</v>
      </c>
      <c r="G1644" s="13">
        <f>F1644/2865.78/12*1000</f>
        <v>0</v>
      </c>
    </row>
    <row r="1645" spans="2:7" ht="12.75" customHeight="1">
      <c r="B1645" s="19" t="s">
        <v>21</v>
      </c>
      <c r="C1645" s="19"/>
      <c r="D1645" s="13">
        <f>D1646+D1648+D1647</f>
        <v>214.95</v>
      </c>
      <c r="E1645" s="13">
        <f>D1645/2865.78/12*1000</f>
        <v>6.250479799565911</v>
      </c>
      <c r="F1645" s="13">
        <f>F1646+F1648+F1647</f>
        <v>216.13</v>
      </c>
      <c r="G1645" s="13">
        <f>F1645/2865.78/12*1000</f>
        <v>6.284792738219029</v>
      </c>
    </row>
    <row r="1646" spans="2:7" ht="12.75">
      <c r="B1646" s="2"/>
      <c r="C1646" s="15" t="s">
        <v>22</v>
      </c>
      <c r="D1646" s="9">
        <v>180.2</v>
      </c>
      <c r="E1646" s="13">
        <f>D1646/2865.78/12*1000</f>
        <v>5.239992834993149</v>
      </c>
      <c r="F1646" s="8">
        <f>128.5+39.2+5.62+17.33+2.33+1.2+11+0.3+2</f>
        <v>207.48</v>
      </c>
      <c r="G1646" s="13">
        <f>F1646/2865.78/12*1000</f>
        <v>6.03326145063473</v>
      </c>
    </row>
    <row r="1647" spans="2:7" ht="12.75">
      <c r="B1647" s="2"/>
      <c r="C1647" s="15" t="s">
        <v>23</v>
      </c>
      <c r="D1647" s="9">
        <v>32</v>
      </c>
      <c r="E1647" s="13">
        <f>D1647/2865.78/12*1000</f>
        <v>0.9305203702540552</v>
      </c>
      <c r="F1647" s="9">
        <v>7.13</v>
      </c>
      <c r="G1647" s="13">
        <f>F1647/2865.78/12*1000</f>
        <v>0.20733156999723168</v>
      </c>
    </row>
    <row r="1648" spans="2:7" ht="12.75">
      <c r="B1648" s="2"/>
      <c r="C1648" s="20" t="s">
        <v>24</v>
      </c>
      <c r="D1648" s="9">
        <v>2.75</v>
      </c>
      <c r="E1648" s="13">
        <f>D1648/2865.78/12*1000</f>
        <v>0.07996659431870787</v>
      </c>
      <c r="F1648" s="9">
        <v>1.52</v>
      </c>
      <c r="G1648" s="13">
        <f>F1648/2865.78/12*1000</f>
        <v>0.04419971758706762</v>
      </c>
    </row>
    <row r="1649" spans="2:7" ht="12.75">
      <c r="B1649" s="11" t="s">
        <v>25</v>
      </c>
      <c r="C1649" s="11"/>
      <c r="D1649" s="13">
        <v>19.36</v>
      </c>
      <c r="E1649" s="13">
        <f>D1649/2865.78/12*1000</f>
        <v>0.5629648240037035</v>
      </c>
      <c r="F1649" s="13">
        <v>20</v>
      </c>
      <c r="G1649" s="13">
        <f>F1649/2865.78/12*1000</f>
        <v>0.5815752314087845</v>
      </c>
    </row>
    <row r="1650" spans="2:7" ht="12.75">
      <c r="B1650" s="21" t="s">
        <v>26</v>
      </c>
      <c r="C1650" s="21"/>
      <c r="D1650" s="13">
        <v>106.3</v>
      </c>
      <c r="E1650" s="13">
        <f>D1650/2865.78/12*1000</f>
        <v>3.0910723549376895</v>
      </c>
      <c r="F1650" s="1">
        <f>19.3+88.4</f>
        <v>107.7</v>
      </c>
      <c r="G1650" s="13">
        <f>F1650/2865.78/12*1000</f>
        <v>3.131782621136305</v>
      </c>
    </row>
    <row r="1651" spans="2:7" ht="12.75">
      <c r="B1651" s="2"/>
      <c r="C1651" s="10" t="s">
        <v>28</v>
      </c>
      <c r="D1651" s="12">
        <f>D1640+D1641+D1645+D1649+D1650</f>
        <v>586.81</v>
      </c>
      <c r="E1651" s="12">
        <f>E1640+E1641+E1645+E1649+E1650</f>
        <v>17.063708077149442</v>
      </c>
      <c r="F1651" s="12">
        <f>F1640+F1641+F1645+F1649+F1650</f>
        <v>635.96</v>
      </c>
      <c r="G1651" s="13">
        <f>G1640+G1641+G1645+G1649+G1650</f>
        <v>18.49292920833653</v>
      </c>
    </row>
    <row r="1652" spans="2:7" ht="12.75">
      <c r="B1652" s="2">
        <v>4</v>
      </c>
      <c r="C1652" s="10" t="s">
        <v>29</v>
      </c>
      <c r="D1652" s="13">
        <v>58.7</v>
      </c>
      <c r="E1652" s="13">
        <v>1.71</v>
      </c>
      <c r="F1652" s="12"/>
      <c r="G1652" s="12"/>
    </row>
    <row r="1653" spans="2:7" ht="12.75">
      <c r="B1653" s="5">
        <v>5</v>
      </c>
      <c r="C1653" s="10" t="s">
        <v>13</v>
      </c>
      <c r="D1653" s="13">
        <f>D1651+D1652</f>
        <v>645.51</v>
      </c>
      <c r="E1653" s="13">
        <f>E1651+E1652</f>
        <v>18.773708077149443</v>
      </c>
      <c r="F1653" s="13">
        <f>F1651-F1637/1000</f>
        <v>-35.28367000000003</v>
      </c>
      <c r="G1653" s="13"/>
    </row>
    <row r="1654" spans="2:7" ht="12.75">
      <c r="B1654" s="5"/>
      <c r="C1654" s="10"/>
      <c r="D1654" s="13"/>
      <c r="E1654" s="13"/>
      <c r="F1654" s="13"/>
      <c r="G1654" s="13"/>
    </row>
    <row r="1655" spans="2:7" ht="12.75">
      <c r="B1655" s="11" t="s">
        <v>30</v>
      </c>
      <c r="C1655" s="11"/>
      <c r="D1655" s="33" t="s">
        <v>6</v>
      </c>
      <c r="E1655" s="25"/>
      <c r="F1655" s="25"/>
      <c r="G1655" s="13"/>
    </row>
    <row r="1656" spans="2:7" ht="12.75">
      <c r="B1656" s="25"/>
      <c r="C1656" s="34" t="s">
        <v>31</v>
      </c>
      <c r="D1656" s="35">
        <v>7738.16</v>
      </c>
      <c r="E1656" s="25"/>
      <c r="F1656" s="25"/>
      <c r="G1656" s="13"/>
    </row>
    <row r="1657" spans="2:7" ht="12.75">
      <c r="B1657" s="5"/>
      <c r="C1657" s="23" t="s">
        <v>32</v>
      </c>
      <c r="D1657" s="35">
        <v>6994.32</v>
      </c>
      <c r="E1657" s="25"/>
      <c r="F1657" s="25"/>
      <c r="G1657" s="13"/>
    </row>
    <row r="1658" spans="2:7" ht="12.75">
      <c r="B1658" s="5"/>
      <c r="C1658" s="36" t="s">
        <v>13</v>
      </c>
      <c r="D1658" s="33">
        <f>D1657-D1656</f>
        <v>-743.8400000000001</v>
      </c>
      <c r="E1658" s="25"/>
      <c r="F1658" s="25"/>
      <c r="G1658" s="13"/>
    </row>
    <row r="1659" spans="2:7" ht="12.75">
      <c r="B1659" s="5"/>
      <c r="C1659" s="34" t="s">
        <v>33</v>
      </c>
      <c r="D1659" s="35">
        <v>8569.14</v>
      </c>
      <c r="E1659" s="25"/>
      <c r="F1659" s="25"/>
      <c r="G1659" s="13"/>
    </row>
    <row r="1660" spans="2:7" ht="12.75">
      <c r="B1660" s="5"/>
      <c r="C1660" s="23" t="s">
        <v>34</v>
      </c>
      <c r="D1660" s="35">
        <v>7577.98</v>
      </c>
      <c r="E1660" s="25"/>
      <c r="F1660" s="25"/>
      <c r="G1660" s="13"/>
    </row>
    <row r="1661" spans="2:7" ht="12.75">
      <c r="B1661" s="5"/>
      <c r="C1661" s="36" t="s">
        <v>13</v>
      </c>
      <c r="D1661" s="33">
        <f>D1660-D1659</f>
        <v>-991.1599999999999</v>
      </c>
      <c r="E1661" s="25"/>
      <c r="F1661" s="25"/>
      <c r="G1661" s="13"/>
    </row>
    <row r="1662" spans="2:7" ht="12.75">
      <c r="B1662" s="5"/>
      <c r="C1662" s="34" t="s">
        <v>42</v>
      </c>
      <c r="D1662" s="35">
        <v>1318.25</v>
      </c>
      <c r="E1662" s="25"/>
      <c r="F1662" s="25"/>
      <c r="G1662" s="13"/>
    </row>
    <row r="1663" spans="2:7" ht="12.75">
      <c r="B1663" s="5"/>
      <c r="C1663" s="23" t="s">
        <v>43</v>
      </c>
      <c r="D1663" s="35">
        <v>1009.76</v>
      </c>
      <c r="E1663" s="25"/>
      <c r="F1663" s="25"/>
      <c r="G1663" s="13"/>
    </row>
    <row r="1664" spans="2:7" ht="12.75">
      <c r="B1664" s="5"/>
      <c r="C1664" s="36" t="s">
        <v>13</v>
      </c>
      <c r="D1664" s="33">
        <f>D1663-D1662</f>
        <v>-308.49</v>
      </c>
      <c r="E1664" s="25"/>
      <c r="F1664" s="25"/>
      <c r="G1664" s="13"/>
    </row>
    <row r="1665" spans="2:7" ht="12.75">
      <c r="B1665" s="11"/>
      <c r="C1665" s="36" t="s">
        <v>35</v>
      </c>
      <c r="D1665" s="50">
        <f>D1658+D1661+D1664</f>
        <v>-2043.49</v>
      </c>
      <c r="E1665" s="25"/>
      <c r="F1665" s="25"/>
      <c r="G1665" s="13"/>
    </row>
    <row r="1666" spans="2:7" ht="12.75">
      <c r="B1666" s="11"/>
      <c r="C1666" s="11"/>
      <c r="D1666" s="27"/>
      <c r="E1666" s="25"/>
      <c r="F1666" s="25"/>
      <c r="G1666" s="13"/>
    </row>
    <row r="1667" spans="2:7" ht="12.75">
      <c r="B1667" s="11"/>
      <c r="C1667" s="14" t="s">
        <v>44</v>
      </c>
      <c r="D1667" s="27" t="s">
        <v>37</v>
      </c>
      <c r="E1667" s="25"/>
      <c r="F1667" s="46">
        <v>-33.24</v>
      </c>
      <c r="G1667" s="13"/>
    </row>
    <row r="1668" spans="2:7" ht="12.75">
      <c r="B1668" s="5"/>
      <c r="C1668" s="14" t="s">
        <v>45</v>
      </c>
      <c r="D1668" s="13"/>
      <c r="E1668" s="13"/>
      <c r="F1668" s="37">
        <v>-588.3</v>
      </c>
      <c r="G1668" s="13"/>
    </row>
    <row r="1669" spans="2:7" ht="12.75">
      <c r="B1669" s="23" t="s">
        <v>39</v>
      </c>
      <c r="C1669" s="23"/>
      <c r="D1669" s="23"/>
      <c r="E1669" s="23"/>
      <c r="F1669" s="23"/>
      <c r="G1669" s="23"/>
    </row>
    <row r="1671" spans="2:7" ht="12.75">
      <c r="B1671" s="1" t="s">
        <v>0</v>
      </c>
      <c r="C1671" s="1"/>
      <c r="D1671" s="1"/>
      <c r="E1671" s="1"/>
      <c r="F1671" s="1"/>
      <c r="G1671" s="1"/>
    </row>
    <row r="1672" spans="2:7" ht="12.75">
      <c r="B1672" s="1" t="s">
        <v>51</v>
      </c>
      <c r="C1672" s="1"/>
      <c r="D1672" s="1"/>
      <c r="E1672" s="1"/>
      <c r="F1672" s="1"/>
      <c r="G1672" s="1"/>
    </row>
    <row r="1673" spans="2:7" ht="12.75">
      <c r="B1673" s="1" t="s">
        <v>124</v>
      </c>
      <c r="C1673" s="1"/>
      <c r="D1673" s="1"/>
      <c r="E1673" s="1"/>
      <c r="F1673" s="1"/>
      <c r="G1673" s="1"/>
    </row>
    <row r="1674" spans="2:7" ht="12.75" customHeight="1">
      <c r="B1674" s="2"/>
      <c r="C1674" s="2" t="s">
        <v>3</v>
      </c>
      <c r="D1674" s="3" t="s">
        <v>41</v>
      </c>
      <c r="E1674" s="3"/>
      <c r="F1674" s="4" t="s">
        <v>109</v>
      </c>
      <c r="G1674" s="4"/>
    </row>
    <row r="1675" spans="2:7" ht="12.75">
      <c r="B1675" s="2"/>
      <c r="C1675" s="2"/>
      <c r="D1675" s="3" t="s">
        <v>6</v>
      </c>
      <c r="E1675" s="3" t="s">
        <v>7</v>
      </c>
      <c r="F1675" s="3" t="s">
        <v>6</v>
      </c>
      <c r="G1675" s="3" t="s">
        <v>8</v>
      </c>
    </row>
    <row r="1676" spans="2:7" ht="12.75">
      <c r="B1676" s="5">
        <v>1</v>
      </c>
      <c r="C1676" s="6" t="s">
        <v>9</v>
      </c>
      <c r="D1676" s="13">
        <v>2817.6</v>
      </c>
      <c r="E1676" s="13"/>
      <c r="F1676" s="13">
        <v>2817.6</v>
      </c>
      <c r="G1676" s="13"/>
    </row>
    <row r="1677" spans="2:7" ht="12.75">
      <c r="B1677" s="5">
        <v>2</v>
      </c>
      <c r="C1677" s="7" t="s">
        <v>62</v>
      </c>
      <c r="D1677" s="8"/>
      <c r="E1677" s="8"/>
      <c r="F1677" s="8" t="s">
        <v>3</v>
      </c>
      <c r="G1677" s="8"/>
    </row>
    <row r="1678" spans="2:7" ht="12.75">
      <c r="B1678" s="5"/>
      <c r="C1678" s="20" t="s">
        <v>56</v>
      </c>
      <c r="D1678" s="9"/>
      <c r="E1678" s="9"/>
      <c r="F1678" s="9">
        <v>693400.12</v>
      </c>
      <c r="G1678" s="9"/>
    </row>
    <row r="1679" spans="2:7" ht="12.75">
      <c r="B1679" s="5"/>
      <c r="C1679" s="34" t="s">
        <v>57</v>
      </c>
      <c r="D1679" s="9"/>
      <c r="E1679" s="9"/>
      <c r="F1679" s="9">
        <v>659059.99</v>
      </c>
      <c r="G1679" s="9"/>
    </row>
    <row r="1680" spans="2:7" ht="12.75">
      <c r="B1680" s="5"/>
      <c r="C1680" s="2" t="s">
        <v>13</v>
      </c>
      <c r="D1680" s="9"/>
      <c r="E1680" s="9"/>
      <c r="F1680" s="9">
        <f>F1679-F1678</f>
        <v>-34340.130000000005</v>
      </c>
      <c r="G1680" s="9"/>
    </row>
    <row r="1681" spans="2:7" ht="12.75">
      <c r="B1681" s="5">
        <v>3</v>
      </c>
      <c r="C1681" s="10" t="s">
        <v>14</v>
      </c>
      <c r="D1681" s="1" t="s">
        <v>15</v>
      </c>
      <c r="E1681" s="1"/>
      <c r="F1681" s="1" t="s">
        <v>15</v>
      </c>
      <c r="G1681" s="1"/>
    </row>
    <row r="1682" spans="2:7" ht="12.75">
      <c r="B1682" s="11" t="s">
        <v>16</v>
      </c>
      <c r="C1682" s="11"/>
      <c r="D1682" s="12">
        <f>E1682*D1676*12/1000</f>
        <v>91.62835199999999</v>
      </c>
      <c r="E1682" s="13">
        <v>2.71</v>
      </c>
      <c r="F1682" s="13">
        <v>93.6</v>
      </c>
      <c r="G1682" s="13">
        <f>F1682/2817.6/12*1000</f>
        <v>2.7683134582623508</v>
      </c>
    </row>
    <row r="1683" spans="2:7" ht="12.75" customHeight="1">
      <c r="B1683" s="14" t="s">
        <v>17</v>
      </c>
      <c r="C1683" s="14"/>
      <c r="D1683" s="1">
        <f>D1684+D1685+D1686</f>
        <v>189.6</v>
      </c>
      <c r="E1683" s="13">
        <f>D1683/2817.6/12*1000</f>
        <v>5.607609312890403</v>
      </c>
      <c r="F1683" s="12">
        <f>F1684+F1685+F1686</f>
        <v>202.45</v>
      </c>
      <c r="G1683" s="13">
        <f>F1683/2817.6/12*1000</f>
        <v>5.987660893431762</v>
      </c>
    </row>
    <row r="1684" spans="2:7" ht="12.75">
      <c r="B1684" s="2"/>
      <c r="C1684" s="15" t="s">
        <v>18</v>
      </c>
      <c r="D1684" s="9">
        <v>147</v>
      </c>
      <c r="E1684" s="13">
        <v>4.2</v>
      </c>
      <c r="F1684" s="9">
        <f>54.1+2.6+90.5</f>
        <v>147.2</v>
      </c>
      <c r="G1684" s="13">
        <f>F1684/2817.6/12*1000</f>
        <v>4.353586977096347</v>
      </c>
    </row>
    <row r="1685" spans="2:7" ht="12.75">
      <c r="B1685" s="2"/>
      <c r="C1685" s="15" t="s">
        <v>19</v>
      </c>
      <c r="D1685" s="18">
        <v>42.6</v>
      </c>
      <c r="E1685" s="13">
        <v>1.4</v>
      </c>
      <c r="F1685" s="45">
        <v>51.05</v>
      </c>
      <c r="G1685" s="13">
        <f>F1685/2817.6/12*1000</f>
        <v>1.5098547226954382</v>
      </c>
    </row>
    <row r="1686" spans="2:7" ht="12.75">
      <c r="B1686" s="32" t="s">
        <v>20</v>
      </c>
      <c r="C1686" s="32"/>
      <c r="D1686" s="18">
        <v>0</v>
      </c>
      <c r="E1686" s="13">
        <f>D1686/2817.6/12*1000</f>
        <v>0</v>
      </c>
      <c r="F1686" s="18">
        <v>4.2</v>
      </c>
      <c r="G1686" s="13">
        <f>F1686/2817.6/12*1000</f>
        <v>0.1242191936399773</v>
      </c>
    </row>
    <row r="1687" spans="2:7" ht="12.75" customHeight="1">
      <c r="B1687" s="19" t="s">
        <v>21</v>
      </c>
      <c r="C1687" s="19"/>
      <c r="D1687" s="13">
        <f>D1688+D1690+D1689</f>
        <v>211.31510399999996</v>
      </c>
      <c r="E1687" s="13">
        <f>D1687/2817.6/12*1000</f>
        <v>6.2498551959114135</v>
      </c>
      <c r="F1687" s="13">
        <f>F1688+F1690+F1689</f>
        <v>216.7</v>
      </c>
      <c r="G1687" s="13">
        <f>F1687/2817.6/12*1000</f>
        <v>6.409118871853114</v>
      </c>
    </row>
    <row r="1688" spans="2:7" ht="12.75">
      <c r="B1688" s="2"/>
      <c r="C1688" s="15" t="s">
        <v>22</v>
      </c>
      <c r="D1688" s="9">
        <f>E1688*D1676*12/1000</f>
        <v>177.17068799999998</v>
      </c>
      <c r="E1688" s="13">
        <v>5.24</v>
      </c>
      <c r="F1688" s="8">
        <f>126.3+38.5+5.53+17.04+1.4+15.7+0.29+1.98</f>
        <v>206.73999999999998</v>
      </c>
      <c r="G1688" s="13">
        <f>F1688/2817.6/12*1000</f>
        <v>6.114541926935453</v>
      </c>
    </row>
    <row r="1689" spans="2:7" ht="12.75">
      <c r="B1689" s="2"/>
      <c r="C1689" s="15" t="s">
        <v>23</v>
      </c>
      <c r="D1689" s="9">
        <f>E1689*D1676*12/1000</f>
        <v>31.444415999999997</v>
      </c>
      <c r="E1689" s="13">
        <v>0.93</v>
      </c>
      <c r="F1689" s="9">
        <v>6.4</v>
      </c>
      <c r="G1689" s="13">
        <f>F1689/2817.6/12*1000</f>
        <v>0.1892863903085368</v>
      </c>
    </row>
    <row r="1690" spans="2:7" ht="12.75">
      <c r="B1690" s="2"/>
      <c r="C1690" s="20" t="s">
        <v>24</v>
      </c>
      <c r="D1690" s="9">
        <v>2.7</v>
      </c>
      <c r="E1690" s="13">
        <f>D1690/2817.6/12*1000</f>
        <v>0.07985519591141398</v>
      </c>
      <c r="F1690" s="9">
        <v>3.56</v>
      </c>
      <c r="G1690" s="13">
        <f>F1690/2817.6/12*1000</f>
        <v>0.10529055460912362</v>
      </c>
    </row>
    <row r="1691" spans="2:7" ht="12.75">
      <c r="B1691" s="11" t="s">
        <v>25</v>
      </c>
      <c r="C1691" s="11"/>
      <c r="D1691" s="13">
        <f>E1691*D1676*12/1000</f>
        <v>19.948607999999997</v>
      </c>
      <c r="E1691" s="13">
        <v>0.59</v>
      </c>
      <c r="F1691" s="13">
        <v>19.7</v>
      </c>
      <c r="G1691" s="13">
        <f>F1691/2817.6/12*1000</f>
        <v>0.5826471701684649</v>
      </c>
    </row>
    <row r="1692" spans="2:7" ht="12.75">
      <c r="B1692" s="21" t="s">
        <v>26</v>
      </c>
      <c r="C1692" s="21"/>
      <c r="D1692" s="13">
        <f>E1692*D1676*12/1000</f>
        <v>104.47660800000001</v>
      </c>
      <c r="E1692" s="13">
        <v>3.09</v>
      </c>
      <c r="F1692" s="1">
        <f>86.9</f>
        <v>86.9</v>
      </c>
      <c r="G1692" s="13">
        <f>F1692/2817.6/12*1000</f>
        <v>2.5701542684081016</v>
      </c>
    </row>
    <row r="1693" spans="2:7" ht="12.75">
      <c r="B1693" s="2"/>
      <c r="C1693" s="10" t="s">
        <v>28</v>
      </c>
      <c r="D1693" s="12">
        <f>D1682+D1683+D1687+D1691+D1692</f>
        <v>616.968672</v>
      </c>
      <c r="E1693" s="12">
        <f>E1682+E1683+E1687+E1691+E1692</f>
        <v>18.24746450880182</v>
      </c>
      <c r="F1693" s="12">
        <f>F1682+F1683+F1687+F1691+F1692</f>
        <v>619.35</v>
      </c>
      <c r="G1693" s="13">
        <f>G1682+G1683+G1687+G1691+G1692</f>
        <v>18.317894662123795</v>
      </c>
    </row>
    <row r="1694" spans="2:7" ht="12.75">
      <c r="B1694" s="2">
        <v>4</v>
      </c>
      <c r="C1694" s="10" t="s">
        <v>29</v>
      </c>
      <c r="D1694" s="13">
        <v>61.67</v>
      </c>
      <c r="E1694" s="12">
        <v>1.8</v>
      </c>
      <c r="F1694" s="12"/>
      <c r="G1694" s="12"/>
    </row>
    <row r="1695" spans="2:7" ht="12.75">
      <c r="B1695" s="5">
        <v>5</v>
      </c>
      <c r="C1695" s="10" t="s">
        <v>13</v>
      </c>
      <c r="D1695" s="13">
        <f>D1693+D1694</f>
        <v>678.6386719999999</v>
      </c>
      <c r="E1695" s="13">
        <f>E1693+E1694</f>
        <v>20.04746450880182</v>
      </c>
      <c r="F1695" s="13">
        <f>F1693-F1679/1000</f>
        <v>-39.70998999999995</v>
      </c>
      <c r="G1695" s="13"/>
    </row>
    <row r="1696" spans="2:7" ht="12.75">
      <c r="B1696" s="5"/>
      <c r="C1696" s="10"/>
      <c r="D1696" s="13"/>
      <c r="E1696" s="13"/>
      <c r="F1696" s="13"/>
      <c r="G1696" s="13"/>
    </row>
    <row r="1697" spans="2:7" ht="12.75">
      <c r="B1697" s="11" t="s">
        <v>30</v>
      </c>
      <c r="C1697" s="11"/>
      <c r="D1697" s="33" t="s">
        <v>6</v>
      </c>
      <c r="E1697" s="25"/>
      <c r="F1697" s="25"/>
      <c r="G1697" s="13"/>
    </row>
    <row r="1698" spans="2:7" ht="12.75">
      <c r="B1698" s="25"/>
      <c r="C1698" s="34" t="s">
        <v>31</v>
      </c>
      <c r="D1698" s="35">
        <v>22400.21</v>
      </c>
      <c r="E1698" s="25"/>
      <c r="F1698" s="25"/>
      <c r="G1698" s="13"/>
    </row>
    <row r="1699" spans="2:7" ht="12.75">
      <c r="B1699" s="5"/>
      <c r="C1699" s="23" t="s">
        <v>32</v>
      </c>
      <c r="D1699" s="35">
        <v>20472.44</v>
      </c>
      <c r="E1699" s="25"/>
      <c r="F1699" s="25"/>
      <c r="G1699" s="13"/>
    </row>
    <row r="1700" spans="2:7" ht="12.75">
      <c r="B1700" s="5"/>
      <c r="C1700" s="36" t="s">
        <v>13</v>
      </c>
      <c r="D1700" s="33">
        <f>D1699-D1698</f>
        <v>-1927.7700000000004</v>
      </c>
      <c r="E1700" s="25"/>
      <c r="F1700" s="25"/>
      <c r="G1700" s="13"/>
    </row>
    <row r="1701" spans="2:7" ht="12.75">
      <c r="B1701" s="5"/>
      <c r="C1701" s="34" t="s">
        <v>33</v>
      </c>
      <c r="D1701" s="35">
        <v>24823.3</v>
      </c>
      <c r="E1701" s="25"/>
      <c r="F1701" s="25"/>
      <c r="G1701" s="13"/>
    </row>
    <row r="1702" spans="2:7" ht="12.75">
      <c r="B1702" s="5"/>
      <c r="C1702" s="23" t="s">
        <v>34</v>
      </c>
      <c r="D1702" s="35">
        <v>22442.65</v>
      </c>
      <c r="E1702" s="25"/>
      <c r="F1702" s="25"/>
      <c r="G1702" s="13"/>
    </row>
    <row r="1703" spans="2:7" ht="12.75">
      <c r="B1703" s="5"/>
      <c r="C1703" s="36" t="s">
        <v>13</v>
      </c>
      <c r="D1703" s="33">
        <f>D1702-D1701</f>
        <v>-2380.649999999998</v>
      </c>
      <c r="E1703" s="25"/>
      <c r="F1703" s="25"/>
      <c r="G1703" s="13"/>
    </row>
    <row r="1704" spans="2:7" ht="12.75">
      <c r="B1704" s="5"/>
      <c r="C1704" s="34" t="s">
        <v>42</v>
      </c>
      <c r="D1704" s="35">
        <v>23272.6</v>
      </c>
      <c r="E1704" s="25"/>
      <c r="F1704" s="25"/>
      <c r="G1704" s="13"/>
    </row>
    <row r="1705" spans="2:7" ht="12.75">
      <c r="B1705" s="5"/>
      <c r="C1705" s="23" t="s">
        <v>43</v>
      </c>
      <c r="D1705" s="35">
        <v>17559.1</v>
      </c>
      <c r="E1705" s="25"/>
      <c r="F1705" s="25"/>
      <c r="G1705" s="13"/>
    </row>
    <row r="1706" spans="2:7" ht="12.75">
      <c r="B1706" s="5"/>
      <c r="C1706" s="36" t="s">
        <v>13</v>
      </c>
      <c r="D1706" s="33">
        <f>D1705-D1704</f>
        <v>-5713.5</v>
      </c>
      <c r="E1706" s="25"/>
      <c r="F1706" s="25"/>
      <c r="G1706" s="13"/>
    </row>
    <row r="1707" spans="2:7" ht="12.75">
      <c r="B1707" s="11"/>
      <c r="C1707" s="36" t="s">
        <v>35</v>
      </c>
      <c r="D1707" s="50">
        <f>D1700+D1703+D1706</f>
        <v>-10021.919999999998</v>
      </c>
      <c r="E1707" s="25"/>
      <c r="F1707" s="25"/>
      <c r="G1707" s="13"/>
    </row>
    <row r="1708" spans="2:7" ht="12.75">
      <c r="B1708" s="11"/>
      <c r="C1708" s="11"/>
      <c r="D1708" s="27"/>
      <c r="E1708" s="25"/>
      <c r="F1708" s="25"/>
      <c r="G1708" s="13"/>
    </row>
    <row r="1709" spans="2:7" ht="12.75">
      <c r="B1709" s="11"/>
      <c r="C1709" s="14" t="s">
        <v>44</v>
      </c>
      <c r="D1709" s="27" t="s">
        <v>37</v>
      </c>
      <c r="E1709" s="25"/>
      <c r="F1709" s="46">
        <v>-29.71</v>
      </c>
      <c r="G1709" s="13"/>
    </row>
    <row r="1710" spans="2:7" ht="12.75">
      <c r="B1710" s="5"/>
      <c r="C1710" s="14" t="s">
        <v>45</v>
      </c>
      <c r="D1710" s="13"/>
      <c r="E1710" s="13"/>
      <c r="F1710" s="37">
        <v>-262</v>
      </c>
      <c r="G1710" s="13"/>
    </row>
    <row r="1711" spans="2:7" ht="12.75">
      <c r="B1711" s="23" t="s">
        <v>39</v>
      </c>
      <c r="C1711" s="23"/>
      <c r="D1711" s="23"/>
      <c r="E1711" s="23"/>
      <c r="F1711" s="23"/>
      <c r="G1711" s="23"/>
    </row>
    <row r="1712" spans="2:4" ht="12.75">
      <c r="B1712" s="51"/>
      <c r="C1712" s="51"/>
      <c r="D1712" s="30"/>
    </row>
    <row r="1713" spans="2:7" ht="12.75">
      <c r="B1713" s="29"/>
      <c r="C1713" s="39"/>
      <c r="D1713" s="38"/>
      <c r="G1713" s="52"/>
    </row>
    <row r="1714" spans="2:7" ht="12.75">
      <c r="B1714" s="1" t="s">
        <v>0</v>
      </c>
      <c r="C1714" s="1"/>
      <c r="D1714" s="1"/>
      <c r="E1714" s="1"/>
      <c r="F1714" s="1"/>
      <c r="G1714" s="1"/>
    </row>
    <row r="1715" spans="2:7" ht="12.75">
      <c r="B1715" s="1" t="s">
        <v>51</v>
      </c>
      <c r="C1715" s="1"/>
      <c r="D1715" s="1"/>
      <c r="E1715" s="1"/>
      <c r="F1715" s="1"/>
      <c r="G1715" s="1"/>
    </row>
    <row r="1716" spans="2:7" ht="12.75">
      <c r="B1716" s="1" t="s">
        <v>125</v>
      </c>
      <c r="C1716" s="1"/>
      <c r="D1716" s="1"/>
      <c r="E1716" s="1"/>
      <c r="F1716" s="1"/>
      <c r="G1716" s="1"/>
    </row>
    <row r="1717" spans="2:7" ht="12.75" customHeight="1">
      <c r="B1717" s="2"/>
      <c r="C1717" s="2" t="s">
        <v>3</v>
      </c>
      <c r="D1717" s="3" t="s">
        <v>41</v>
      </c>
      <c r="E1717" s="3"/>
      <c r="F1717" s="4" t="s">
        <v>109</v>
      </c>
      <c r="G1717" s="4"/>
    </row>
    <row r="1718" spans="2:7" ht="12.75">
      <c r="B1718" s="2"/>
      <c r="C1718" s="2"/>
      <c r="D1718" s="3" t="s">
        <v>6</v>
      </c>
      <c r="E1718" s="3" t="s">
        <v>7</v>
      </c>
      <c r="F1718" s="3" t="s">
        <v>6</v>
      </c>
      <c r="G1718" s="3" t="s">
        <v>8</v>
      </c>
    </row>
    <row r="1719" spans="2:7" ht="12.75">
      <c r="B1719" s="5">
        <v>1</v>
      </c>
      <c r="C1719" s="6" t="s">
        <v>9</v>
      </c>
      <c r="D1719" s="13">
        <v>746.65</v>
      </c>
      <c r="E1719" s="13"/>
      <c r="F1719" s="13">
        <v>746.65</v>
      </c>
      <c r="G1719" s="13"/>
    </row>
    <row r="1720" spans="2:7" ht="12.75">
      <c r="B1720" s="5">
        <v>2</v>
      </c>
      <c r="C1720" s="7" t="s">
        <v>71</v>
      </c>
      <c r="D1720" s="8"/>
      <c r="E1720" s="8"/>
      <c r="F1720" s="8" t="s">
        <v>3</v>
      </c>
      <c r="G1720" s="8"/>
    </row>
    <row r="1721" spans="2:7" ht="12.75">
      <c r="B1721" s="5"/>
      <c r="C1721" s="2" t="s">
        <v>49</v>
      </c>
      <c r="D1721" s="9"/>
      <c r="E1721" s="9"/>
      <c r="F1721" s="9">
        <v>179626.94</v>
      </c>
      <c r="G1721" s="9"/>
    </row>
    <row r="1722" spans="2:7" ht="12.75">
      <c r="B1722" s="5"/>
      <c r="C1722" s="2" t="s">
        <v>50</v>
      </c>
      <c r="D1722" s="9"/>
      <c r="E1722" s="9"/>
      <c r="F1722" s="9">
        <v>180320.33</v>
      </c>
      <c r="G1722" s="9"/>
    </row>
    <row r="1723" spans="2:7" ht="12.75">
      <c r="B1723" s="5"/>
      <c r="C1723" s="2" t="s">
        <v>13</v>
      </c>
      <c r="D1723" s="9"/>
      <c r="E1723" s="9"/>
      <c r="F1723" s="9">
        <f>F1722-F1721</f>
        <v>693.3899999999849</v>
      </c>
      <c r="G1723" s="9"/>
    </row>
    <row r="1724" spans="2:7" ht="12.75">
      <c r="B1724" s="5">
        <v>3</v>
      </c>
      <c r="C1724" s="10" t="s">
        <v>14</v>
      </c>
      <c r="D1724" s="1" t="s">
        <v>15</v>
      </c>
      <c r="E1724" s="1"/>
      <c r="F1724" s="1" t="s">
        <v>15</v>
      </c>
      <c r="G1724" s="1"/>
    </row>
    <row r="1725" spans="2:7" ht="12.75">
      <c r="B1725" s="11" t="s">
        <v>16</v>
      </c>
      <c r="C1725" s="11"/>
      <c r="D1725" s="13">
        <v>24.3</v>
      </c>
      <c r="E1725" s="13">
        <f>D1725/746.65/12*1000</f>
        <v>2.7121141096899484</v>
      </c>
      <c r="F1725" s="13">
        <v>24.25</v>
      </c>
      <c r="G1725" s="13">
        <f>F1725/746.65/12*1000</f>
        <v>2.7065336279827674</v>
      </c>
    </row>
    <row r="1726" spans="2:7" ht="12.75" customHeight="1">
      <c r="B1726" s="14" t="s">
        <v>17</v>
      </c>
      <c r="C1726" s="14"/>
      <c r="D1726" s="1">
        <f>D1727+D1728+D1729</f>
        <v>50.26</v>
      </c>
      <c r="E1726" s="13">
        <f>D1726/746.65/12*1000</f>
        <v>5.609500212058305</v>
      </c>
      <c r="F1726" s="12">
        <f>F1727+F1728+F1729</f>
        <v>41.33</v>
      </c>
      <c r="G1726" s="13">
        <f>F1726/746.65/12*1000</f>
        <v>4.612826179155785</v>
      </c>
    </row>
    <row r="1727" spans="2:7" ht="12.75">
      <c r="B1727" s="2"/>
      <c r="C1727" s="15" t="s">
        <v>18</v>
      </c>
      <c r="D1727" s="9">
        <v>39</v>
      </c>
      <c r="E1727" s="13">
        <f>D1727/746.65/12*1000</f>
        <v>4.3527757316011515</v>
      </c>
      <c r="F1727" s="9">
        <f>14.34+0.68+24</f>
        <v>39.019999999999996</v>
      </c>
      <c r="G1727" s="13">
        <f>F1727/746.65/12*1000</f>
        <v>4.355007924284023</v>
      </c>
    </row>
    <row r="1728" spans="2:7" ht="12.75">
      <c r="B1728" s="2"/>
      <c r="C1728" s="15" t="s">
        <v>19</v>
      </c>
      <c r="D1728" s="18">
        <v>11.26</v>
      </c>
      <c r="E1728" s="13">
        <f>D1728/746.65/12*1000</f>
        <v>1.2567244804571531</v>
      </c>
      <c r="F1728" s="18">
        <v>2.31</v>
      </c>
      <c r="G1728" s="13">
        <f>F1728/746.65/12*1000</f>
        <v>0.2578182548717605</v>
      </c>
    </row>
    <row r="1729" spans="2:7" ht="12.75">
      <c r="B1729" s="32" t="s">
        <v>20</v>
      </c>
      <c r="C1729" s="32"/>
      <c r="D1729" s="18">
        <v>0</v>
      </c>
      <c r="E1729" s="13">
        <f>D1729/746.65/12*1000</f>
        <v>0</v>
      </c>
      <c r="F1729" s="18">
        <v>0</v>
      </c>
      <c r="G1729" s="13">
        <f>F1729/746.65/12*1000</f>
        <v>0</v>
      </c>
    </row>
    <row r="1730" spans="2:7" ht="12.75" customHeight="1">
      <c r="B1730" s="19" t="s">
        <v>21</v>
      </c>
      <c r="C1730" s="19"/>
      <c r="D1730" s="13">
        <f>D1731+D1733+D1732</f>
        <v>56</v>
      </c>
      <c r="E1730" s="13">
        <f>D1730/746.65/12*1000</f>
        <v>6.25013951204268</v>
      </c>
      <c r="F1730" s="13">
        <f>F1731+F1733+F1732</f>
        <v>60.21</v>
      </c>
      <c r="G1730" s="13">
        <f>F1730/746.65/12*1000</f>
        <v>6.720016071787317</v>
      </c>
    </row>
    <row r="1731" spans="2:7" ht="12.75">
      <c r="B1731" s="2"/>
      <c r="C1731" s="15" t="s">
        <v>22</v>
      </c>
      <c r="D1731" s="9">
        <v>46.95</v>
      </c>
      <c r="E1731" s="13">
        <f>D1731/746.65/12*1000</f>
        <v>5.240072323042925</v>
      </c>
      <c r="F1731" s="8">
        <f>33.48+10.21+1.46+4.52+0.61+6.6+0.08+0.52</f>
        <v>57.480000000000004</v>
      </c>
      <c r="G1731" s="13">
        <f>F1731/746.65/12*1000</f>
        <v>6.415321770575237</v>
      </c>
    </row>
    <row r="1732" spans="2:7" ht="12.75">
      <c r="B1732" s="2"/>
      <c r="C1732" s="15" t="s">
        <v>23</v>
      </c>
      <c r="D1732" s="9">
        <v>8.33</v>
      </c>
      <c r="E1732" s="13">
        <f>D1732/746.65/12*1000</f>
        <v>0.9297082524163487</v>
      </c>
      <c r="F1732" s="9">
        <v>2.73</v>
      </c>
      <c r="G1732" s="13">
        <f>F1732/746.65/12*1000</f>
        <v>0.30469430121208063</v>
      </c>
    </row>
    <row r="1733" spans="2:7" ht="12.75">
      <c r="B1733" s="2"/>
      <c r="C1733" s="20" t="s">
        <v>24</v>
      </c>
      <c r="D1733" s="9">
        <v>0.72</v>
      </c>
      <c r="E1733" s="13">
        <f>D1733/746.65/12*1000</f>
        <v>0.08035893658340587</v>
      </c>
      <c r="F1733" s="9">
        <v>0</v>
      </c>
      <c r="G1733" s="13">
        <f>F1733/746.65/12*1000</f>
        <v>0</v>
      </c>
    </row>
    <row r="1734" spans="2:7" ht="12.75">
      <c r="B1734" s="11" t="s">
        <v>25</v>
      </c>
      <c r="C1734" s="11"/>
      <c r="D1734" s="13">
        <v>5.3</v>
      </c>
      <c r="E1734" s="13">
        <f>D1734/746.65/12*1000</f>
        <v>0.5915310609611821</v>
      </c>
      <c r="F1734" s="13">
        <v>5.41</v>
      </c>
      <c r="G1734" s="13">
        <f>F1734/746.65/12*1000</f>
        <v>0.6038081207169803</v>
      </c>
    </row>
    <row r="1735" spans="2:7" ht="12.75">
      <c r="B1735" s="21" t="s">
        <v>26</v>
      </c>
      <c r="C1735" s="21"/>
      <c r="D1735" s="13">
        <v>27.7</v>
      </c>
      <c r="E1735" s="13">
        <f>D1735/746.65/12*1000</f>
        <v>3.0915868657782535</v>
      </c>
      <c r="F1735" s="12">
        <f>5+23</f>
        <v>28</v>
      </c>
      <c r="G1735" s="13">
        <f>F1735/746.65/12*1000</f>
        <v>3.12506975602134</v>
      </c>
    </row>
    <row r="1736" spans="2:7" ht="12.75">
      <c r="B1736" s="2"/>
      <c r="C1736" s="10" t="s">
        <v>28</v>
      </c>
      <c r="D1736" s="12">
        <f>D1725+D1726+D1730+D1734+D1735</f>
        <v>163.56</v>
      </c>
      <c r="E1736" s="12">
        <f>E1725+E1726+E1730+E1734+E1735</f>
        <v>18.254871760530367</v>
      </c>
      <c r="F1736" s="13">
        <f>F1725+F1726+F1730+F1734+F1735</f>
        <v>159.2</v>
      </c>
      <c r="G1736" s="13">
        <f>G1725+G1726+G1730+G1734+G1735</f>
        <v>17.76825375566419</v>
      </c>
    </row>
    <row r="1737" spans="2:7" ht="12.75">
      <c r="B1737" s="2">
        <v>4</v>
      </c>
      <c r="C1737" s="10" t="s">
        <v>29</v>
      </c>
      <c r="D1737" s="13">
        <v>16.36</v>
      </c>
      <c r="E1737" s="12">
        <v>1.8</v>
      </c>
      <c r="F1737" s="12"/>
      <c r="G1737" s="12"/>
    </row>
    <row r="1738" spans="2:7" ht="12.75">
      <c r="B1738" s="5">
        <v>5</v>
      </c>
      <c r="C1738" s="10" t="s">
        <v>13</v>
      </c>
      <c r="D1738" s="13">
        <f>D1736+D1737</f>
        <v>179.92000000000002</v>
      </c>
      <c r="E1738" s="13">
        <f>E1736+E1737</f>
        <v>20.054871760530368</v>
      </c>
      <c r="F1738" s="13">
        <f>F1736-F1722/1000</f>
        <v>-21.120329999999996</v>
      </c>
      <c r="G1738" s="13"/>
    </row>
    <row r="1739" spans="2:7" ht="12.75">
      <c r="B1739" s="5"/>
      <c r="C1739" s="10"/>
      <c r="D1739" s="13"/>
      <c r="E1739" s="13"/>
      <c r="F1739" s="13"/>
      <c r="G1739" s="13"/>
    </row>
    <row r="1740" spans="2:7" ht="12.75">
      <c r="B1740" s="5"/>
      <c r="C1740" s="14" t="s">
        <v>45</v>
      </c>
      <c r="D1740" s="13"/>
      <c r="E1740" s="13"/>
      <c r="F1740" s="37">
        <v>-107.6</v>
      </c>
      <c r="G1740" s="13"/>
    </row>
    <row r="1741" spans="2:7" ht="12.75">
      <c r="B1741" s="23" t="s">
        <v>39</v>
      </c>
      <c r="C1741" s="23"/>
      <c r="D1741" s="23"/>
      <c r="E1741" s="23"/>
      <c r="F1741" s="23"/>
      <c r="G1741" s="23"/>
    </row>
    <row r="1743" spans="2:7" ht="12.75">
      <c r="B1743" s="1" t="s">
        <v>0</v>
      </c>
      <c r="C1743" s="1"/>
      <c r="D1743" s="1"/>
      <c r="E1743" s="1"/>
      <c r="F1743" s="1"/>
      <c r="G1743" s="1"/>
    </row>
    <row r="1744" spans="2:7" ht="12.75">
      <c r="B1744" s="1" t="s">
        <v>51</v>
      </c>
      <c r="C1744" s="1"/>
      <c r="D1744" s="1"/>
      <c r="E1744" s="1"/>
      <c r="F1744" s="1"/>
      <c r="G1744" s="1"/>
    </row>
    <row r="1745" spans="2:7" ht="12.75">
      <c r="B1745" s="1" t="s">
        <v>126</v>
      </c>
      <c r="C1745" s="1"/>
      <c r="D1745" s="1"/>
      <c r="E1745" s="1"/>
      <c r="F1745" s="1"/>
      <c r="G1745" s="1"/>
    </row>
    <row r="1746" spans="2:7" ht="12.75" customHeight="1">
      <c r="B1746" s="2"/>
      <c r="C1746" s="2" t="s">
        <v>3</v>
      </c>
      <c r="D1746" s="3" t="s">
        <v>41</v>
      </c>
      <c r="E1746" s="3"/>
      <c r="F1746" s="4" t="s">
        <v>109</v>
      </c>
      <c r="G1746" s="4"/>
    </row>
    <row r="1747" spans="2:7" ht="12.75">
      <c r="B1747" s="2"/>
      <c r="C1747" s="2"/>
      <c r="D1747" s="3" t="s">
        <v>6</v>
      </c>
      <c r="E1747" s="3" t="s">
        <v>7</v>
      </c>
      <c r="F1747" s="3" t="s">
        <v>6</v>
      </c>
      <c r="G1747" s="3" t="s">
        <v>8</v>
      </c>
    </row>
    <row r="1748" spans="2:7" ht="12.75">
      <c r="B1748" s="5">
        <v>1</v>
      </c>
      <c r="C1748" s="6" t="s">
        <v>9</v>
      </c>
      <c r="D1748" s="13">
        <v>1735.3</v>
      </c>
      <c r="E1748" s="13"/>
      <c r="F1748" s="13">
        <v>1735.3</v>
      </c>
      <c r="G1748" s="13"/>
    </row>
    <row r="1749" spans="2:7" ht="12.75">
      <c r="B1749" s="5">
        <v>2</v>
      </c>
      <c r="C1749" s="7" t="s">
        <v>120</v>
      </c>
      <c r="D1749" s="8"/>
      <c r="E1749" s="8"/>
      <c r="F1749" s="8" t="s">
        <v>3</v>
      </c>
      <c r="G1749" s="8"/>
    </row>
    <row r="1750" spans="2:7" ht="12.75">
      <c r="B1750" s="5"/>
      <c r="C1750" s="20" t="s">
        <v>11</v>
      </c>
      <c r="D1750" s="9"/>
      <c r="E1750" s="9"/>
      <c r="F1750" s="9">
        <v>448951.62</v>
      </c>
      <c r="G1750" s="9"/>
    </row>
    <row r="1751" spans="2:7" ht="12.75">
      <c r="B1751" s="5"/>
      <c r="C1751" s="34" t="s">
        <v>12</v>
      </c>
      <c r="D1751" s="9"/>
      <c r="E1751" s="9"/>
      <c r="F1751" s="9">
        <v>447727.01</v>
      </c>
      <c r="G1751" s="9"/>
    </row>
    <row r="1752" spans="2:7" ht="12.75">
      <c r="B1752" s="5"/>
      <c r="C1752" s="2" t="s">
        <v>13</v>
      </c>
      <c r="D1752" s="9"/>
      <c r="E1752" s="9"/>
      <c r="F1752" s="9">
        <f>F1751-F1750</f>
        <v>-1224.609999999986</v>
      </c>
      <c r="G1752" s="9"/>
    </row>
    <row r="1753" spans="2:7" ht="12.75">
      <c r="B1753" s="5">
        <v>3</v>
      </c>
      <c r="C1753" s="10" t="s">
        <v>14</v>
      </c>
      <c r="D1753" s="1" t="s">
        <v>15</v>
      </c>
      <c r="E1753" s="1"/>
      <c r="F1753" s="1" t="s">
        <v>15</v>
      </c>
      <c r="G1753" s="1"/>
    </row>
    <row r="1754" spans="2:7" ht="12.75">
      <c r="B1754" s="11" t="s">
        <v>16</v>
      </c>
      <c r="C1754" s="11"/>
      <c r="D1754" s="13">
        <f>E1754*D1748*12/1000</f>
        <v>56.43195599999999</v>
      </c>
      <c r="E1754" s="13">
        <v>2.71</v>
      </c>
      <c r="F1754" s="13">
        <v>60.6</v>
      </c>
      <c r="G1754" s="13">
        <f>F1754/1735.3/12*1000</f>
        <v>2.910159626577537</v>
      </c>
    </row>
    <row r="1755" spans="2:7" ht="12.75" customHeight="1">
      <c r="B1755" s="14" t="s">
        <v>17</v>
      </c>
      <c r="C1755" s="14"/>
      <c r="D1755" s="1">
        <f>D1756+D1757+D1758</f>
        <v>116.9</v>
      </c>
      <c r="E1755" s="13">
        <f>D1755/1735.3/12*1000</f>
        <v>5.613822778001882</v>
      </c>
      <c r="F1755" s="12">
        <f>F1756+F1757+F1758</f>
        <v>311.15000000000003</v>
      </c>
      <c r="G1755" s="13">
        <f>F1755/1735.3/12*1000</f>
        <v>14.942180986957107</v>
      </c>
    </row>
    <row r="1756" spans="2:7" ht="12.75">
      <c r="B1756" s="2"/>
      <c r="C1756" s="15" t="s">
        <v>18</v>
      </c>
      <c r="D1756" s="9">
        <v>90.7</v>
      </c>
      <c r="E1756" s="13">
        <v>4.2</v>
      </c>
      <c r="F1756" s="9">
        <f>33.3+5.2+55.75</f>
        <v>94.25</v>
      </c>
      <c r="G1756" s="13">
        <f>F1756/1735.3/12*1000</f>
        <v>4.526114600741466</v>
      </c>
    </row>
    <row r="1757" spans="2:7" ht="12.75">
      <c r="B1757" s="2"/>
      <c r="C1757" s="15" t="s">
        <v>19</v>
      </c>
      <c r="D1757" s="18">
        <v>26.2</v>
      </c>
      <c r="E1757" s="13">
        <v>1.4</v>
      </c>
      <c r="F1757" s="45">
        <v>204.3</v>
      </c>
      <c r="G1757" s="13">
        <f>F1757/1735.3/12*1000</f>
        <v>9.810983691580706</v>
      </c>
    </row>
    <row r="1758" spans="2:7" ht="12.75">
      <c r="B1758" s="32" t="s">
        <v>20</v>
      </c>
      <c r="C1758" s="32"/>
      <c r="D1758" s="18">
        <v>0</v>
      </c>
      <c r="E1758" s="13">
        <f>D1758/1735.3/12*1000</f>
        <v>0</v>
      </c>
      <c r="F1758" s="18">
        <v>12.6</v>
      </c>
      <c r="G1758" s="13">
        <f>F1758/1735.3/12*1000</f>
        <v>0.6050826946349335</v>
      </c>
    </row>
    <row r="1759" spans="2:7" ht="12.75" customHeight="1">
      <c r="B1759" s="19" t="s">
        <v>21</v>
      </c>
      <c r="C1759" s="19"/>
      <c r="D1759" s="13">
        <f>D1760+D1762+D1761</f>
        <v>130.151612</v>
      </c>
      <c r="E1759" s="13">
        <f>D1759/1735.3/12*1000</f>
        <v>6.250197468257171</v>
      </c>
      <c r="F1759" s="13">
        <f>F1760+F1762+F1761</f>
        <v>140.43000000000004</v>
      </c>
      <c r="G1759" s="13">
        <f>F1759/1735.3/12*1000</f>
        <v>6.743790699014582</v>
      </c>
    </row>
    <row r="1760" spans="2:7" ht="12.75">
      <c r="B1760" s="2"/>
      <c r="C1760" s="15" t="s">
        <v>22</v>
      </c>
      <c r="D1760" s="9">
        <f>E1760*D1748*12/1000</f>
        <v>109.115664</v>
      </c>
      <c r="E1760" s="13">
        <v>5.24</v>
      </c>
      <c r="F1760" s="8">
        <f>77.8+23.73+3.4+10.5+1.4+11.8+4.94+1.22</f>
        <v>134.79000000000002</v>
      </c>
      <c r="G1760" s="13">
        <f>F1760/1735.3/12*1000</f>
        <v>6.472944159511325</v>
      </c>
    </row>
    <row r="1761" spans="2:7" ht="12.75">
      <c r="B1761" s="2"/>
      <c r="C1761" s="15" t="s">
        <v>23</v>
      </c>
      <c r="D1761" s="9">
        <f>E1761*D1748*12/1000</f>
        <v>19.365948</v>
      </c>
      <c r="E1761" s="13">
        <v>0.93</v>
      </c>
      <c r="F1761" s="9">
        <v>4.5600000000000005</v>
      </c>
      <c r="G1761" s="13">
        <f>F1761/1735.3/12*1000</f>
        <v>0.21898230853454737</v>
      </c>
    </row>
    <row r="1762" spans="2:7" ht="12.75">
      <c r="B1762" s="2"/>
      <c r="C1762" s="20" t="s">
        <v>24</v>
      </c>
      <c r="D1762" s="9">
        <v>1.67</v>
      </c>
      <c r="E1762" s="13">
        <f>D1762/1735.3/12*1000</f>
        <v>0.08019746825716975</v>
      </c>
      <c r="F1762" s="9">
        <v>1.08</v>
      </c>
      <c r="G1762" s="13">
        <f>F1762/1735.3/12*1000</f>
        <v>0.05186423096870858</v>
      </c>
    </row>
    <row r="1763" spans="2:7" ht="12.75">
      <c r="B1763" s="11" t="s">
        <v>25</v>
      </c>
      <c r="C1763" s="11"/>
      <c r="D1763" s="13">
        <f>E1763*D1748*12/1000</f>
        <v>12.285924</v>
      </c>
      <c r="E1763" s="13">
        <v>0.59</v>
      </c>
      <c r="F1763" s="13">
        <v>13.36</v>
      </c>
      <c r="G1763" s="13">
        <f>F1763/1735.3/12*1000</f>
        <v>0.641579746057358</v>
      </c>
    </row>
    <row r="1764" spans="2:7" ht="12.75">
      <c r="B1764" s="21" t="s">
        <v>26</v>
      </c>
      <c r="C1764" s="21"/>
      <c r="D1764" s="13">
        <f>E1764*D1748*12/1000</f>
        <v>64.34492399999999</v>
      </c>
      <c r="E1764" s="13">
        <v>3.09</v>
      </c>
      <c r="F1764" s="1">
        <f>11.66+53.5</f>
        <v>65.16</v>
      </c>
      <c r="G1764" s="13">
        <f>F1764/1735.3/12*1000</f>
        <v>3.129141935112084</v>
      </c>
    </row>
    <row r="1765" spans="2:7" ht="12.75">
      <c r="B1765" s="21"/>
      <c r="C1765" s="22" t="s">
        <v>27</v>
      </c>
      <c r="D1765" s="13">
        <v>0</v>
      </c>
      <c r="E1765" s="13">
        <f>D1765/1735.3/12*1000</f>
        <v>0</v>
      </c>
      <c r="F1765" s="1">
        <v>32.07</v>
      </c>
      <c r="G1765" s="13">
        <f>F1765/1735.3/12*1000</f>
        <v>1.540079525154152</v>
      </c>
    </row>
    <row r="1766" spans="2:7" ht="12.75">
      <c r="B1766" s="2"/>
      <c r="C1766" s="10" t="s">
        <v>28</v>
      </c>
      <c r="D1766" s="12">
        <f>D1754+D1755+D1759+D1763+D1764</f>
        <v>380.114416</v>
      </c>
      <c r="E1766" s="12">
        <f>E1754+E1755+E1759+E1763+E1764</f>
        <v>18.254020246259053</v>
      </c>
      <c r="F1766" s="12">
        <f>F1754+F1755+F1759+F1763+F1764+F1765</f>
        <v>622.7700000000001</v>
      </c>
      <c r="G1766" s="13">
        <f>G1754+G1755+G1759+G1763+G1764+G1765</f>
        <v>29.906932518872818</v>
      </c>
    </row>
    <row r="1767" spans="2:7" ht="12.75">
      <c r="B1767" s="2">
        <v>4</v>
      </c>
      <c r="C1767" s="10" t="s">
        <v>29</v>
      </c>
      <c r="D1767" s="13">
        <v>38</v>
      </c>
      <c r="E1767" s="12">
        <v>1.8</v>
      </c>
      <c r="F1767" s="12"/>
      <c r="G1767" s="12"/>
    </row>
    <row r="1768" spans="2:7" ht="12.75">
      <c r="B1768" s="5">
        <v>5</v>
      </c>
      <c r="C1768" s="10" t="s">
        <v>13</v>
      </c>
      <c r="D1768" s="13">
        <f>D1766+D1767</f>
        <v>418.114416</v>
      </c>
      <c r="E1768" s="13">
        <f>E1766+E1767</f>
        <v>20.054020246259054</v>
      </c>
      <c r="F1768" s="13">
        <f>F1766-F1751/1000</f>
        <v>175.0429900000001</v>
      </c>
      <c r="G1768" s="13"/>
    </row>
    <row r="1769" spans="2:7" ht="12.75">
      <c r="B1769" s="5"/>
      <c r="C1769" s="10"/>
      <c r="D1769" s="13"/>
      <c r="E1769" s="13"/>
      <c r="F1769" s="13"/>
      <c r="G1769" s="13"/>
    </row>
    <row r="1770" spans="2:7" ht="12.75">
      <c r="B1770" s="11" t="s">
        <v>30</v>
      </c>
      <c r="C1770" s="11"/>
      <c r="D1770" s="33" t="s">
        <v>6</v>
      </c>
      <c r="E1770" s="25"/>
      <c r="F1770" s="25"/>
      <c r="G1770" s="13"/>
    </row>
    <row r="1771" spans="2:7" ht="12.75">
      <c r="B1771" s="25"/>
      <c r="C1771" s="34" t="s">
        <v>31</v>
      </c>
      <c r="D1771" s="35">
        <v>16554.91</v>
      </c>
      <c r="E1771" s="25"/>
      <c r="F1771" s="25"/>
      <c r="G1771" s="13"/>
    </row>
    <row r="1772" spans="2:7" ht="12.75">
      <c r="B1772" s="5"/>
      <c r="C1772" s="23" t="s">
        <v>32</v>
      </c>
      <c r="D1772" s="35">
        <v>13398.11</v>
      </c>
      <c r="E1772" s="25"/>
      <c r="F1772" s="25"/>
      <c r="G1772" s="13"/>
    </row>
    <row r="1773" spans="2:7" ht="12.75">
      <c r="B1773" s="5"/>
      <c r="C1773" s="36" t="s">
        <v>13</v>
      </c>
      <c r="D1773" s="33">
        <f>D1772-D1771</f>
        <v>-3156.7999999999993</v>
      </c>
      <c r="E1773" s="25"/>
      <c r="F1773" s="25"/>
      <c r="G1773" s="13"/>
    </row>
    <row r="1774" spans="2:7" ht="12.75">
      <c r="B1774" s="5"/>
      <c r="C1774" s="34" t="s">
        <v>33</v>
      </c>
      <c r="D1774" s="35">
        <v>21344.48</v>
      </c>
      <c r="E1774" s="25"/>
      <c r="F1774" s="25"/>
      <c r="G1774" s="13"/>
    </row>
    <row r="1775" spans="2:7" ht="12.75">
      <c r="B1775" s="5"/>
      <c r="C1775" s="23" t="s">
        <v>34</v>
      </c>
      <c r="D1775" s="35">
        <v>17103.37</v>
      </c>
      <c r="E1775" s="25"/>
      <c r="F1775" s="25"/>
      <c r="G1775" s="13"/>
    </row>
    <row r="1776" spans="2:7" ht="12.75">
      <c r="B1776" s="5"/>
      <c r="C1776" s="36" t="s">
        <v>13</v>
      </c>
      <c r="D1776" s="33">
        <f>D1775-D1774</f>
        <v>-4241.110000000001</v>
      </c>
      <c r="E1776" s="25"/>
      <c r="F1776" s="25"/>
      <c r="G1776" s="13"/>
    </row>
    <row r="1777" spans="2:7" ht="12.75">
      <c r="B1777" s="5"/>
      <c r="C1777" s="34" t="s">
        <v>76</v>
      </c>
      <c r="D1777" s="35">
        <v>14958.08</v>
      </c>
      <c r="E1777" s="25"/>
      <c r="F1777" s="25"/>
      <c r="G1777" s="13"/>
    </row>
    <row r="1778" spans="2:7" ht="12.75">
      <c r="B1778" s="5"/>
      <c r="C1778" s="23" t="s">
        <v>77</v>
      </c>
      <c r="D1778" s="35">
        <v>13195.77</v>
      </c>
      <c r="E1778" s="25"/>
      <c r="F1778" s="25"/>
      <c r="G1778" s="13"/>
    </row>
    <row r="1779" spans="2:7" ht="12.75">
      <c r="B1779" s="5"/>
      <c r="C1779" s="36" t="s">
        <v>13</v>
      </c>
      <c r="D1779" s="33">
        <f>D1778-D1777</f>
        <v>-1762.3099999999995</v>
      </c>
      <c r="E1779" s="25"/>
      <c r="F1779" s="25"/>
      <c r="G1779" s="13"/>
    </row>
    <row r="1780" spans="2:7" ht="12.75">
      <c r="B1780" s="5"/>
      <c r="C1780" s="34" t="s">
        <v>42</v>
      </c>
      <c r="D1780" s="35">
        <v>6507.37</v>
      </c>
      <c r="E1780" s="25"/>
      <c r="F1780" s="25"/>
      <c r="G1780" s="13"/>
    </row>
    <row r="1781" spans="2:7" ht="12.75">
      <c r="B1781" s="5"/>
      <c r="C1781" s="23" t="s">
        <v>43</v>
      </c>
      <c r="D1781" s="35">
        <v>4772.01</v>
      </c>
      <c r="E1781" s="25"/>
      <c r="F1781" s="25"/>
      <c r="G1781" s="13"/>
    </row>
    <row r="1782" spans="2:7" ht="12.75">
      <c r="B1782" s="5"/>
      <c r="C1782" s="36" t="s">
        <v>13</v>
      </c>
      <c r="D1782" s="33">
        <f>D1781-D1780</f>
        <v>-1735.3599999999997</v>
      </c>
      <c r="E1782" s="25"/>
      <c r="F1782" s="25"/>
      <c r="G1782" s="13"/>
    </row>
    <row r="1783" spans="2:7" ht="12.75">
      <c r="B1783" s="11"/>
      <c r="C1783" s="36" t="s">
        <v>35</v>
      </c>
      <c r="D1783" s="50">
        <f>D1773+D1776+D1779+D1782</f>
        <v>-10895.579999999998</v>
      </c>
      <c r="E1783" s="25"/>
      <c r="F1783" s="25"/>
      <c r="G1783" s="13"/>
    </row>
    <row r="1784" spans="2:7" ht="12.75">
      <c r="B1784" s="11"/>
      <c r="C1784" s="14" t="s">
        <v>44</v>
      </c>
      <c r="D1784" s="27" t="s">
        <v>37</v>
      </c>
      <c r="E1784" s="25"/>
      <c r="F1784" s="46">
        <v>185.94</v>
      </c>
      <c r="G1784" s="13"/>
    </row>
    <row r="1785" spans="2:7" ht="12.75">
      <c r="B1785" s="5"/>
      <c r="C1785" s="14" t="s">
        <v>127</v>
      </c>
      <c r="D1785" s="13"/>
      <c r="E1785" s="13"/>
      <c r="F1785" s="37">
        <v>425.8</v>
      </c>
      <c r="G1785" s="13"/>
    </row>
    <row r="1786" spans="2:7" ht="12.75">
      <c r="B1786" s="23" t="s">
        <v>39</v>
      </c>
      <c r="C1786" s="23"/>
      <c r="D1786" s="23"/>
      <c r="E1786" s="23"/>
      <c r="F1786" s="23"/>
      <c r="G1786" s="23"/>
    </row>
    <row r="1788" spans="2:7" ht="12.75">
      <c r="B1788" s="1" t="s">
        <v>0</v>
      </c>
      <c r="C1788" s="1"/>
      <c r="D1788" s="1"/>
      <c r="E1788" s="1"/>
      <c r="F1788" s="1"/>
      <c r="G1788" s="1"/>
    </row>
    <row r="1789" spans="2:7" ht="12.75">
      <c r="B1789" s="1" t="s">
        <v>51</v>
      </c>
      <c r="C1789" s="1"/>
      <c r="D1789" s="1"/>
      <c r="E1789" s="1"/>
      <c r="F1789" s="1"/>
      <c r="G1789" s="1"/>
    </row>
    <row r="1790" spans="2:7" ht="12.75">
      <c r="B1790" s="1" t="s">
        <v>128</v>
      </c>
      <c r="C1790" s="1"/>
      <c r="D1790" s="1"/>
      <c r="E1790" s="1"/>
      <c r="F1790" s="1"/>
      <c r="G1790" s="1"/>
    </row>
    <row r="1791" spans="2:7" ht="12.75" customHeight="1">
      <c r="B1791" s="2"/>
      <c r="C1791" s="2" t="s">
        <v>3</v>
      </c>
      <c r="D1791" s="3" t="s">
        <v>41</v>
      </c>
      <c r="E1791" s="3"/>
      <c r="F1791" s="4" t="s">
        <v>109</v>
      </c>
      <c r="G1791" s="4"/>
    </row>
    <row r="1792" spans="2:7" ht="12.75">
      <c r="B1792" s="2"/>
      <c r="C1792" s="2"/>
      <c r="D1792" s="3" t="s">
        <v>6</v>
      </c>
      <c r="E1792" s="3" t="s">
        <v>7</v>
      </c>
      <c r="F1792" s="3" t="s">
        <v>6</v>
      </c>
      <c r="G1792" s="3" t="s">
        <v>8</v>
      </c>
    </row>
    <row r="1793" spans="2:7" ht="12.75">
      <c r="B1793" s="5">
        <v>1</v>
      </c>
      <c r="C1793" s="6" t="s">
        <v>9</v>
      </c>
      <c r="D1793" s="13">
        <v>1699.8</v>
      </c>
      <c r="E1793" s="13"/>
      <c r="F1793" s="13">
        <v>1699.8</v>
      </c>
      <c r="G1793" s="13"/>
    </row>
    <row r="1794" spans="2:7" ht="12.75">
      <c r="B1794" s="5">
        <v>2</v>
      </c>
      <c r="C1794" s="7" t="s">
        <v>55</v>
      </c>
      <c r="D1794" s="8"/>
      <c r="E1794" s="8"/>
      <c r="F1794" s="8" t="s">
        <v>3</v>
      </c>
      <c r="G1794" s="8"/>
    </row>
    <row r="1795" spans="2:7" ht="12.75">
      <c r="B1795" s="5"/>
      <c r="C1795" s="20" t="s">
        <v>56</v>
      </c>
      <c r="D1795" s="9"/>
      <c r="E1795" s="9"/>
      <c r="F1795" s="9">
        <v>408971.88</v>
      </c>
      <c r="G1795" s="9"/>
    </row>
    <row r="1796" spans="2:7" ht="12.75">
      <c r="B1796" s="5"/>
      <c r="C1796" s="34" t="s">
        <v>57</v>
      </c>
      <c r="D1796" s="9"/>
      <c r="E1796" s="9"/>
      <c r="F1796" s="9">
        <v>387922.36</v>
      </c>
      <c r="G1796" s="9"/>
    </row>
    <row r="1797" spans="2:7" ht="12.75">
      <c r="B1797" s="5"/>
      <c r="C1797" s="34" t="s">
        <v>13</v>
      </c>
      <c r="D1797" s="9"/>
      <c r="E1797" s="9"/>
      <c r="F1797" s="9">
        <f>F1796-F1795</f>
        <v>-21049.52000000002</v>
      </c>
      <c r="G1797" s="9"/>
    </row>
    <row r="1798" spans="2:7" ht="12.75">
      <c r="B1798" s="5">
        <v>3</v>
      </c>
      <c r="C1798" s="10" t="s">
        <v>14</v>
      </c>
      <c r="D1798" s="1" t="s">
        <v>15</v>
      </c>
      <c r="E1798" s="1"/>
      <c r="F1798" s="1" t="s">
        <v>15</v>
      </c>
      <c r="G1798" s="1"/>
    </row>
    <row r="1799" spans="2:7" ht="12.75">
      <c r="B1799" s="11" t="s">
        <v>16</v>
      </c>
      <c r="C1799" s="11"/>
      <c r="D1799" s="13">
        <f>E1799*D1793*12/1000</f>
        <v>55.277496</v>
      </c>
      <c r="E1799" s="13">
        <v>2.71</v>
      </c>
      <c r="F1799" s="13">
        <v>55.2</v>
      </c>
      <c r="G1799" s="13">
        <f>F1799/1699.8/12*1000</f>
        <v>2.706200729497588</v>
      </c>
    </row>
    <row r="1800" spans="2:7" ht="12.75" customHeight="1">
      <c r="B1800" s="14" t="s">
        <v>17</v>
      </c>
      <c r="C1800" s="14"/>
      <c r="D1800" s="1">
        <f>D1801+D1802+D1803</f>
        <v>114.5</v>
      </c>
      <c r="E1800" s="13">
        <f>D1800/1699.8/12*1000</f>
        <v>5.613405498686119</v>
      </c>
      <c r="F1800" s="12">
        <f>F1801+F1802+F1803</f>
        <v>202.6</v>
      </c>
      <c r="G1800" s="13">
        <f>F1800/1699.8/12*1000</f>
        <v>9.932541083264699</v>
      </c>
    </row>
    <row r="1801" spans="2:7" ht="12.75">
      <c r="B1801" s="2"/>
      <c r="C1801" s="15" t="s">
        <v>18</v>
      </c>
      <c r="D1801" s="9">
        <v>88.8</v>
      </c>
      <c r="E1801" s="13">
        <v>4.2</v>
      </c>
      <c r="F1801" s="9">
        <f>32.64+6.36+54.6</f>
        <v>93.6</v>
      </c>
      <c r="G1801" s="13">
        <f>F1801/1699.8/12*1000</f>
        <v>4.588775150017649</v>
      </c>
    </row>
    <row r="1802" spans="2:7" ht="12.75">
      <c r="B1802" s="2"/>
      <c r="C1802" s="15" t="s">
        <v>19</v>
      </c>
      <c r="D1802" s="9">
        <v>25.7</v>
      </c>
      <c r="E1802" s="13">
        <v>1.4</v>
      </c>
      <c r="F1802" s="45">
        <v>96.4</v>
      </c>
      <c r="G1802" s="13">
        <f>F1802/1699.8/12*1000</f>
        <v>4.7260462015139035</v>
      </c>
    </row>
    <row r="1803" spans="2:7" ht="12.75">
      <c r="B1803" s="32" t="s">
        <v>20</v>
      </c>
      <c r="C1803" s="32"/>
      <c r="D1803" s="18">
        <v>0</v>
      </c>
      <c r="E1803" s="13">
        <f>D1803/1699.8/12*1000</f>
        <v>0</v>
      </c>
      <c r="F1803" s="18">
        <v>12.6</v>
      </c>
      <c r="G1803" s="13">
        <f>F1803/1699.8/12*1000</f>
        <v>0.6177197317331451</v>
      </c>
    </row>
    <row r="1804" spans="2:7" ht="12.75" customHeight="1">
      <c r="B1804" s="19" t="s">
        <v>21</v>
      </c>
      <c r="C1804" s="19"/>
      <c r="D1804" s="13">
        <f>D1805+D1807+D1806</f>
        <v>127.48500000000001</v>
      </c>
      <c r="E1804" s="13">
        <f>D1804/1699.8/12*1000</f>
        <v>6.250000000000001</v>
      </c>
      <c r="F1804" s="13">
        <f>F1805+F1807+F1806</f>
        <v>136.98999999999998</v>
      </c>
      <c r="G1804" s="13">
        <f>F1804/1699.8/12*1000</f>
        <v>6.715986194454249</v>
      </c>
    </row>
    <row r="1805" spans="2:7" ht="12.75">
      <c r="B1805" s="2"/>
      <c r="C1805" s="15" t="s">
        <v>22</v>
      </c>
      <c r="D1805" s="9">
        <f>E1805*D1793*12/1000</f>
        <v>106.883424</v>
      </c>
      <c r="E1805" s="13">
        <v>5.24</v>
      </c>
      <c r="F1805" s="8">
        <f>76.22+23.25+3.33+10.28+1.38+9.52+5+1.2</f>
        <v>130.17999999999998</v>
      </c>
      <c r="G1805" s="13">
        <f>F1805/1699.8/12*1000</f>
        <v>6.3821233870651435</v>
      </c>
    </row>
    <row r="1806" spans="2:7" ht="12.75">
      <c r="B1806" s="2"/>
      <c r="C1806" s="15" t="s">
        <v>23</v>
      </c>
      <c r="D1806" s="9">
        <f>E1806*D1793*12/1000</f>
        <v>18.969768</v>
      </c>
      <c r="E1806" s="13">
        <v>0.93</v>
      </c>
      <c r="F1806" s="9">
        <v>4</v>
      </c>
      <c r="G1806" s="13">
        <f>F1806/1699.8/12*1000</f>
        <v>0.19610150213750638</v>
      </c>
    </row>
    <row r="1807" spans="2:7" ht="12.75">
      <c r="B1807" s="2"/>
      <c r="C1807" s="20" t="s">
        <v>24</v>
      </c>
      <c r="D1807" s="9">
        <f>E1807*D1793*12/1000</f>
        <v>1.631808</v>
      </c>
      <c r="E1807" s="13">
        <v>0.08</v>
      </c>
      <c r="F1807" s="9">
        <v>2.81</v>
      </c>
      <c r="G1807" s="13">
        <f>F1807/1699.8/12*1000</f>
        <v>0.13776130525159824</v>
      </c>
    </row>
    <row r="1808" spans="2:7" ht="12.75">
      <c r="B1808" s="11" t="s">
        <v>25</v>
      </c>
      <c r="C1808" s="11"/>
      <c r="D1808" s="9">
        <f>E1808*D1793*12/1000</f>
        <v>12.034583999999999</v>
      </c>
      <c r="E1808" s="13">
        <v>0.59</v>
      </c>
      <c r="F1808" s="13">
        <v>11.56</v>
      </c>
      <c r="G1808" s="13">
        <f>F1808/1699.8/12*1000</f>
        <v>0.5667333411773935</v>
      </c>
    </row>
    <row r="1809" spans="2:7" ht="12.75">
      <c r="B1809" s="21" t="s">
        <v>26</v>
      </c>
      <c r="C1809" s="21"/>
      <c r="D1809" s="9">
        <f>E1809*D1793*12/1000</f>
        <v>63.028583999999995</v>
      </c>
      <c r="E1809" s="13">
        <v>3.09</v>
      </c>
      <c r="F1809" s="1">
        <f>11.42+52.42</f>
        <v>63.84</v>
      </c>
      <c r="G1809" s="13">
        <f>F1809/1699.8/12*1000</f>
        <v>3.129779974114602</v>
      </c>
    </row>
    <row r="1810" spans="2:7" ht="12.75">
      <c r="B1810" s="2"/>
      <c r="C1810" s="10" t="s">
        <v>28</v>
      </c>
      <c r="D1810" s="12">
        <f>D1799+D1800+D1804+D1808+D1809</f>
        <v>372.32566399999996</v>
      </c>
      <c r="E1810" s="12">
        <f>E1799+E1800+E1804+E1808+E1809</f>
        <v>18.25340549868612</v>
      </c>
      <c r="F1810" s="12">
        <f>F1799+F1800+F1804+F1808+F1809</f>
        <v>470.18999999999994</v>
      </c>
      <c r="G1810" s="13">
        <f>G1799+G1800+G1804+G1808+G1809</f>
        <v>23.05124132250853</v>
      </c>
    </row>
    <row r="1811" spans="2:7" ht="12.75">
      <c r="B1811" s="2">
        <v>4</v>
      </c>
      <c r="C1811" s="10" t="s">
        <v>29</v>
      </c>
      <c r="D1811" s="13">
        <v>37.2</v>
      </c>
      <c r="E1811" s="12">
        <v>1.8</v>
      </c>
      <c r="F1811" s="12"/>
      <c r="G1811" s="12"/>
    </row>
    <row r="1812" spans="2:7" ht="12.75">
      <c r="B1812" s="5">
        <v>5</v>
      </c>
      <c r="C1812" s="10" t="s">
        <v>13</v>
      </c>
      <c r="D1812" s="13">
        <f>D1810+D1811</f>
        <v>409.52566399999995</v>
      </c>
      <c r="E1812" s="13">
        <f>E1810+E1811</f>
        <v>20.05340549868612</v>
      </c>
      <c r="F1812" s="13">
        <f>F1810-F1796/1000</f>
        <v>82.26763999999997</v>
      </c>
      <c r="G1812" s="13"/>
    </row>
    <row r="1813" spans="2:7" ht="12.75">
      <c r="B1813" s="5"/>
      <c r="C1813" s="10"/>
      <c r="D1813" s="13"/>
      <c r="E1813" s="13"/>
      <c r="F1813" s="13"/>
      <c r="G1813" s="13"/>
    </row>
    <row r="1814" spans="2:7" ht="12.75">
      <c r="B1814" s="11" t="s">
        <v>30</v>
      </c>
      <c r="C1814" s="11"/>
      <c r="D1814" s="33" t="s">
        <v>6</v>
      </c>
      <c r="E1814" s="25"/>
      <c r="F1814" s="25"/>
      <c r="G1814" s="13"/>
    </row>
    <row r="1815" spans="2:7" ht="12.75">
      <c r="B1815" s="25"/>
      <c r="C1815" s="34" t="s">
        <v>31</v>
      </c>
      <c r="D1815" s="35">
        <v>17695.07</v>
      </c>
      <c r="E1815" s="25"/>
      <c r="F1815" s="25"/>
      <c r="G1815" s="13"/>
    </row>
    <row r="1816" spans="2:7" ht="12.75">
      <c r="B1816" s="5"/>
      <c r="C1816" s="23" t="s">
        <v>32</v>
      </c>
      <c r="D1816" s="35">
        <v>15094.17</v>
      </c>
      <c r="E1816" s="25"/>
      <c r="F1816" s="25"/>
      <c r="G1816" s="13"/>
    </row>
    <row r="1817" spans="2:7" ht="12.75">
      <c r="B1817" s="5"/>
      <c r="C1817" s="36" t="s">
        <v>13</v>
      </c>
      <c r="D1817" s="33">
        <f>D1816-D1815</f>
        <v>-2600.8999999999996</v>
      </c>
      <c r="E1817" s="25"/>
      <c r="F1817" s="25"/>
      <c r="G1817" s="13"/>
    </row>
    <row r="1818" spans="2:7" ht="12.75">
      <c r="B1818" s="5"/>
      <c r="C1818" s="34" t="s">
        <v>33</v>
      </c>
      <c r="D1818" s="35">
        <v>22624.64</v>
      </c>
      <c r="E1818" s="25"/>
      <c r="F1818" s="25"/>
      <c r="G1818" s="13"/>
    </row>
    <row r="1819" spans="2:7" ht="12.75">
      <c r="B1819" s="5"/>
      <c r="C1819" s="23" t="s">
        <v>34</v>
      </c>
      <c r="D1819" s="35">
        <v>19135.16</v>
      </c>
      <c r="E1819" s="25"/>
      <c r="F1819" s="25"/>
      <c r="G1819" s="13"/>
    </row>
    <row r="1820" spans="2:7" ht="12.75">
      <c r="B1820" s="5"/>
      <c r="C1820" s="36" t="s">
        <v>13</v>
      </c>
      <c r="D1820" s="33">
        <f>D1819-D1818</f>
        <v>-3489.4799999999996</v>
      </c>
      <c r="E1820" s="25"/>
      <c r="F1820" s="25"/>
      <c r="G1820" s="13"/>
    </row>
    <row r="1821" spans="2:7" ht="12.75">
      <c r="B1821" s="5"/>
      <c r="C1821" s="34" t="s">
        <v>76</v>
      </c>
      <c r="D1821" s="35">
        <v>15060.62</v>
      </c>
      <c r="E1821" s="25"/>
      <c r="F1821" s="25"/>
      <c r="G1821" s="13"/>
    </row>
    <row r="1822" spans="2:7" ht="12.75">
      <c r="B1822" s="5"/>
      <c r="C1822" s="23" t="s">
        <v>77</v>
      </c>
      <c r="D1822" s="35">
        <v>12668.8</v>
      </c>
      <c r="E1822" s="25"/>
      <c r="F1822" s="25"/>
      <c r="G1822" s="13"/>
    </row>
    <row r="1823" spans="2:7" ht="12.75">
      <c r="B1823" s="5"/>
      <c r="C1823" s="36" t="s">
        <v>13</v>
      </c>
      <c r="D1823" s="33">
        <f>D1822-D1821</f>
        <v>-2391.8200000000015</v>
      </c>
      <c r="E1823" s="25"/>
      <c r="F1823" s="25"/>
      <c r="G1823" s="13"/>
    </row>
    <row r="1824" spans="2:7" ht="12.75">
      <c r="B1824" s="5"/>
      <c r="C1824" s="34" t="s">
        <v>42</v>
      </c>
      <c r="D1824" s="35">
        <v>3654.68</v>
      </c>
      <c r="E1824" s="25"/>
      <c r="F1824" s="25"/>
      <c r="G1824" s="13"/>
    </row>
    <row r="1825" spans="2:7" ht="12.75">
      <c r="B1825" s="5"/>
      <c r="C1825" s="23" t="s">
        <v>43</v>
      </c>
      <c r="D1825" s="35">
        <v>2397.29</v>
      </c>
      <c r="E1825" s="25"/>
      <c r="F1825" s="25"/>
      <c r="G1825" s="13"/>
    </row>
    <row r="1826" spans="2:7" ht="12.75">
      <c r="B1826" s="5"/>
      <c r="C1826" s="36" t="s">
        <v>13</v>
      </c>
      <c r="D1826" s="33">
        <f>D1825-D1824</f>
        <v>-1257.3899999999999</v>
      </c>
      <c r="E1826" s="25"/>
      <c r="F1826" s="25"/>
      <c r="G1826" s="13"/>
    </row>
    <row r="1827" spans="2:7" ht="12.75">
      <c r="B1827" s="11"/>
      <c r="C1827" s="36" t="s">
        <v>35</v>
      </c>
      <c r="D1827" s="50">
        <f>D1817+D1820+D1823+D1826</f>
        <v>-9739.59</v>
      </c>
      <c r="E1827" s="25"/>
      <c r="F1827" s="25"/>
      <c r="G1827" s="13"/>
    </row>
    <row r="1828" spans="2:7" ht="12.75">
      <c r="B1828" s="11"/>
      <c r="C1828" s="11"/>
      <c r="D1828" s="27"/>
      <c r="E1828" s="25"/>
      <c r="F1828" s="25"/>
      <c r="G1828" s="13"/>
    </row>
    <row r="1829" spans="2:7" ht="12.75">
      <c r="B1829" s="11"/>
      <c r="C1829" s="14" t="s">
        <v>58</v>
      </c>
      <c r="D1829" s="27" t="s">
        <v>37</v>
      </c>
      <c r="E1829" s="25"/>
      <c r="F1829" s="24">
        <v>92.01</v>
      </c>
      <c r="G1829" s="13"/>
    </row>
    <row r="1830" spans="2:7" ht="12.75">
      <c r="B1830" s="5"/>
      <c r="C1830" s="14" t="s">
        <v>127</v>
      </c>
      <c r="D1830" s="13"/>
      <c r="E1830" s="13"/>
      <c r="F1830" s="37">
        <v>349.1</v>
      </c>
      <c r="G1830" s="13"/>
    </row>
    <row r="1831" spans="2:7" ht="12.75">
      <c r="B1831" s="23" t="s">
        <v>39</v>
      </c>
      <c r="C1831" s="23"/>
      <c r="D1831" s="23"/>
      <c r="E1831" s="23"/>
      <c r="F1831" s="23"/>
      <c r="G1831" s="23"/>
    </row>
    <row r="1833" spans="2:7" ht="12.75">
      <c r="B1833" s="1" t="s">
        <v>0</v>
      </c>
      <c r="C1833" s="1"/>
      <c r="D1833" s="1"/>
      <c r="E1833" s="1"/>
      <c r="F1833" s="1"/>
      <c r="G1833" s="1"/>
    </row>
    <row r="1834" spans="2:7" ht="12.75">
      <c r="B1834" s="1" t="s">
        <v>51</v>
      </c>
      <c r="C1834" s="1"/>
      <c r="D1834" s="1"/>
      <c r="E1834" s="1"/>
      <c r="F1834" s="1"/>
      <c r="G1834" s="1"/>
    </row>
    <row r="1835" spans="2:7" ht="12.75">
      <c r="B1835" s="1" t="s">
        <v>129</v>
      </c>
      <c r="C1835" s="1"/>
      <c r="D1835" s="1"/>
      <c r="E1835" s="1"/>
      <c r="F1835" s="1"/>
      <c r="G1835" s="1"/>
    </row>
    <row r="1836" spans="2:7" ht="12.75" customHeight="1">
      <c r="B1836" s="2"/>
      <c r="C1836" s="2" t="s">
        <v>3</v>
      </c>
      <c r="D1836" s="3" t="s">
        <v>41</v>
      </c>
      <c r="E1836" s="3"/>
      <c r="F1836" s="4" t="s">
        <v>109</v>
      </c>
      <c r="G1836" s="4"/>
    </row>
    <row r="1837" spans="2:7" ht="12.75">
      <c r="B1837" s="2"/>
      <c r="C1837" s="2"/>
      <c r="D1837" s="3" t="s">
        <v>6</v>
      </c>
      <c r="E1837" s="3" t="s">
        <v>7</v>
      </c>
      <c r="F1837" s="3" t="s">
        <v>6</v>
      </c>
      <c r="G1837" s="3" t="s">
        <v>8</v>
      </c>
    </row>
    <row r="1838" spans="2:7" ht="12.75">
      <c r="B1838" s="5">
        <v>1</v>
      </c>
      <c r="C1838" s="6" t="s">
        <v>9</v>
      </c>
      <c r="D1838" s="13">
        <v>852.1</v>
      </c>
      <c r="E1838" s="13"/>
      <c r="F1838" s="13">
        <v>852.1</v>
      </c>
      <c r="G1838" s="13"/>
    </row>
    <row r="1839" spans="2:7" ht="12.75">
      <c r="B1839" s="5">
        <v>2</v>
      </c>
      <c r="C1839" s="7" t="s">
        <v>67</v>
      </c>
      <c r="D1839" s="8"/>
      <c r="E1839" s="8"/>
      <c r="F1839" s="8" t="s">
        <v>3</v>
      </c>
      <c r="G1839" s="8"/>
    </row>
    <row r="1840" spans="2:7" ht="12.75">
      <c r="B1840" s="5"/>
      <c r="C1840" s="2" t="s">
        <v>49</v>
      </c>
      <c r="D1840" s="9"/>
      <c r="E1840" s="9"/>
      <c r="F1840" s="9">
        <v>205015.26</v>
      </c>
      <c r="G1840" s="9"/>
    </row>
    <row r="1841" spans="2:7" ht="12.75">
      <c r="B1841" s="5"/>
      <c r="C1841" s="2" t="s">
        <v>50</v>
      </c>
      <c r="D1841" s="9"/>
      <c r="E1841" s="9"/>
      <c r="F1841" s="9">
        <v>182338.23</v>
      </c>
      <c r="G1841" s="9"/>
    </row>
    <row r="1842" spans="2:7" ht="12.75">
      <c r="B1842" s="5"/>
      <c r="C1842" s="2" t="s">
        <v>13</v>
      </c>
      <c r="D1842" s="9"/>
      <c r="E1842" s="9"/>
      <c r="F1842" s="9">
        <f>F1841-F1840</f>
        <v>-22677.03</v>
      </c>
      <c r="G1842" s="9"/>
    </row>
    <row r="1843" spans="2:7" ht="12.75">
      <c r="B1843" s="5">
        <v>3</v>
      </c>
      <c r="C1843" s="10" t="s">
        <v>14</v>
      </c>
      <c r="D1843" s="1" t="s">
        <v>15</v>
      </c>
      <c r="E1843" s="1"/>
      <c r="F1843" s="1" t="s">
        <v>15</v>
      </c>
      <c r="G1843" s="1"/>
    </row>
    <row r="1844" spans="2:7" ht="12.75">
      <c r="B1844" s="11" t="s">
        <v>16</v>
      </c>
      <c r="C1844" s="11"/>
      <c r="D1844" s="13">
        <f>E1844*D1838*12/1000</f>
        <v>27.710292000000003</v>
      </c>
      <c r="E1844" s="13">
        <v>2.71</v>
      </c>
      <c r="F1844" s="13">
        <v>27.7</v>
      </c>
      <c r="G1844" s="13">
        <f>F1844/852.1/12*1000</f>
        <v>2.7089934671204476</v>
      </c>
    </row>
    <row r="1845" spans="2:7" ht="12.75" customHeight="1">
      <c r="B1845" s="14" t="s">
        <v>17</v>
      </c>
      <c r="C1845" s="14"/>
      <c r="D1845" s="1">
        <f>D1846+D1847+D1848</f>
        <v>57.38</v>
      </c>
      <c r="E1845" s="13">
        <f>D1845/852.1/12*1000</f>
        <v>5.611626178461058</v>
      </c>
      <c r="F1845" s="12">
        <f>F1846+F1847+F1848</f>
        <v>60.11</v>
      </c>
      <c r="G1845" s="13">
        <f>F1845/852.1/12*1000</f>
        <v>5.878613621249462</v>
      </c>
    </row>
    <row r="1846" spans="2:7" ht="12.75">
      <c r="B1846" s="2"/>
      <c r="C1846" s="15" t="s">
        <v>18</v>
      </c>
      <c r="D1846" s="9">
        <v>44.5</v>
      </c>
      <c r="E1846" s="13">
        <f>D1846/852.1/12*1000</f>
        <v>4.351993115049095</v>
      </c>
      <c r="F1846" s="9">
        <f>16.36+1.98+27.37</f>
        <v>45.71</v>
      </c>
      <c r="G1846" s="13">
        <f>F1846/852.1/12*1000</f>
        <v>4.470328208739193</v>
      </c>
    </row>
    <row r="1847" spans="2:7" ht="12.75">
      <c r="B1847" s="2"/>
      <c r="C1847" s="15" t="s">
        <v>19</v>
      </c>
      <c r="D1847" s="9">
        <v>12.88</v>
      </c>
      <c r="E1847" s="13">
        <f>D1847/852.1/12*1000</f>
        <v>1.2596330634119626</v>
      </c>
      <c r="F1847" s="45">
        <v>14.4</v>
      </c>
      <c r="G1847" s="13">
        <f>F1847/852.1/12*1000</f>
        <v>1.4082854125102688</v>
      </c>
    </row>
    <row r="1848" spans="2:7" ht="12.75">
      <c r="B1848" s="32" t="s">
        <v>20</v>
      </c>
      <c r="C1848" s="32"/>
      <c r="D1848" s="18">
        <v>0</v>
      </c>
      <c r="E1848" s="13">
        <f>D1848/852.1/12*1000</f>
        <v>0</v>
      </c>
      <c r="F1848" s="18">
        <v>0</v>
      </c>
      <c r="G1848" s="13">
        <f>F1848/852.1/12*1000</f>
        <v>0</v>
      </c>
    </row>
    <row r="1849" spans="2:7" ht="12.75" customHeight="1">
      <c r="B1849" s="19" t="s">
        <v>21</v>
      </c>
      <c r="C1849" s="19"/>
      <c r="D1849" s="13">
        <f>D1850+D1852+D1851</f>
        <v>63.9075</v>
      </c>
      <c r="E1849" s="13">
        <f>D1849/852.1/12*1000</f>
        <v>6.249999999999999</v>
      </c>
      <c r="F1849" s="13">
        <f>F1850+F1852+F1851</f>
        <v>70.13999999999999</v>
      </c>
      <c r="G1849" s="13">
        <f>F1849/852.1/12*1000</f>
        <v>6.859523530102099</v>
      </c>
    </row>
    <row r="1850" spans="2:7" ht="12.75">
      <c r="B1850" s="2"/>
      <c r="C1850" s="15" t="s">
        <v>22</v>
      </c>
      <c r="D1850" s="9">
        <f>E1850*D1838*12/1000</f>
        <v>53.580048</v>
      </c>
      <c r="E1850" s="13">
        <v>5.24</v>
      </c>
      <c r="F1850" s="8">
        <f>38.2+11.65+1.67+5.15+0.7+5.83+1.82+2.13+0.09+0.6</f>
        <v>67.83999999999999</v>
      </c>
      <c r="G1850" s="13">
        <f>F1850/852.1/12*1000</f>
        <v>6.634589054492821</v>
      </c>
    </row>
    <row r="1851" spans="2:7" ht="12.75">
      <c r="B1851" s="2"/>
      <c r="C1851" s="15" t="s">
        <v>23</v>
      </c>
      <c r="D1851" s="9">
        <f>E1851*D1838*12/1000</f>
        <v>9.509436</v>
      </c>
      <c r="E1851" s="13">
        <v>0.93</v>
      </c>
      <c r="F1851" s="9">
        <v>2.3</v>
      </c>
      <c r="G1851" s="13">
        <f>F1851/852.1/12*1000</f>
        <v>0.224934475609279</v>
      </c>
    </row>
    <row r="1852" spans="2:7" ht="12.75">
      <c r="B1852" s="2"/>
      <c r="C1852" s="20" t="s">
        <v>24</v>
      </c>
      <c r="D1852" s="9">
        <f>E1852*D1838*12/1000</f>
        <v>0.8180160000000001</v>
      </c>
      <c r="E1852" s="13">
        <v>0.08</v>
      </c>
      <c r="F1852" s="9">
        <v>0</v>
      </c>
      <c r="G1852" s="13">
        <f>F1852/852.1/12*1000</f>
        <v>0</v>
      </c>
    </row>
    <row r="1853" spans="2:7" ht="12.75">
      <c r="B1853" s="11" t="s">
        <v>25</v>
      </c>
      <c r="C1853" s="11"/>
      <c r="D1853" s="9">
        <f>E1853*D1838*12/1000</f>
        <v>6.032868</v>
      </c>
      <c r="E1853" s="13">
        <v>0.59</v>
      </c>
      <c r="F1853" s="13">
        <v>5.47</v>
      </c>
      <c r="G1853" s="13">
        <f>F1853/852.1/12*1000</f>
        <v>0.5349528615577201</v>
      </c>
    </row>
    <row r="1854" spans="2:7" ht="12.75">
      <c r="B1854" s="21" t="s">
        <v>26</v>
      </c>
      <c r="C1854" s="21"/>
      <c r="D1854" s="9">
        <f>E1854*D1838*12/1000</f>
        <v>31.595868000000003</v>
      </c>
      <c r="E1854" s="13">
        <v>3.09</v>
      </c>
      <c r="F1854" s="1">
        <f>5.73+26.28</f>
        <v>32.010000000000005</v>
      </c>
      <c r="G1854" s="13">
        <f>F1854/852.1/12*1000</f>
        <v>3.1305011148926187</v>
      </c>
    </row>
    <row r="1855" spans="2:7" ht="12.75">
      <c r="B1855" s="2"/>
      <c r="C1855" s="10" t="s">
        <v>28</v>
      </c>
      <c r="D1855" s="12">
        <f>D1844+D1845+D1849+D1853+D1854</f>
        <v>186.626528</v>
      </c>
      <c r="E1855" s="12">
        <f>E1844+E1845+E1849+E1853+E1854</f>
        <v>18.251626178461056</v>
      </c>
      <c r="F1855" s="12">
        <f>F1844+F1845+F1849+F1853+F1854</f>
        <v>195.43</v>
      </c>
      <c r="G1855" s="13">
        <f>G1844+G1845+G1849+G1853+G1854</f>
        <v>19.112584594922346</v>
      </c>
    </row>
    <row r="1856" spans="2:7" ht="12.75">
      <c r="B1856" s="2">
        <v>4</v>
      </c>
      <c r="C1856" s="10" t="s">
        <v>29</v>
      </c>
      <c r="D1856" s="13">
        <v>18.65</v>
      </c>
      <c r="E1856" s="12">
        <v>1.8</v>
      </c>
      <c r="F1856" s="12"/>
      <c r="G1856" s="12"/>
    </row>
    <row r="1857" spans="2:7" ht="12.75">
      <c r="B1857" s="5">
        <v>5</v>
      </c>
      <c r="C1857" s="10" t="s">
        <v>13</v>
      </c>
      <c r="D1857" s="13">
        <f>D1855+D1856</f>
        <v>205.276528</v>
      </c>
      <c r="E1857" s="13">
        <f>E1855+E1856</f>
        <v>20.051626178461056</v>
      </c>
      <c r="F1857" s="13">
        <f>F1855-F1841/1000</f>
        <v>13.091769999999997</v>
      </c>
      <c r="G1857" s="13"/>
    </row>
    <row r="1858" spans="2:7" ht="12.75">
      <c r="B1858" s="5"/>
      <c r="C1858" s="10"/>
      <c r="D1858" s="13"/>
      <c r="E1858" s="13"/>
      <c r="F1858" s="13"/>
      <c r="G1858" s="13"/>
    </row>
    <row r="1859" spans="2:7" ht="12.75">
      <c r="B1859" s="5"/>
      <c r="C1859" s="14" t="s">
        <v>127</v>
      </c>
      <c r="D1859" s="13"/>
      <c r="E1859" s="13"/>
      <c r="F1859" s="37">
        <v>151.5</v>
      </c>
      <c r="G1859" s="13"/>
    </row>
    <row r="1860" spans="2:7" ht="12.75">
      <c r="B1860" s="23" t="s">
        <v>39</v>
      </c>
      <c r="C1860" s="23"/>
      <c r="D1860" s="23"/>
      <c r="E1860" s="23"/>
      <c r="F1860" s="23"/>
      <c r="G1860" s="23"/>
    </row>
    <row r="1862" spans="2:7" ht="12.75">
      <c r="B1862" s="1" t="s">
        <v>0</v>
      </c>
      <c r="C1862" s="1"/>
      <c r="D1862" s="1"/>
      <c r="E1862" s="1"/>
      <c r="F1862" s="1"/>
      <c r="G1862" s="1"/>
    </row>
    <row r="1863" spans="2:7" ht="12.75">
      <c r="B1863" s="1" t="s">
        <v>51</v>
      </c>
      <c r="C1863" s="1"/>
      <c r="D1863" s="1"/>
      <c r="E1863" s="1"/>
      <c r="F1863" s="1"/>
      <c r="G1863" s="1"/>
    </row>
    <row r="1864" spans="2:7" ht="12.75">
      <c r="B1864" s="1" t="s">
        <v>130</v>
      </c>
      <c r="C1864" s="1"/>
      <c r="D1864" s="1"/>
      <c r="E1864" s="1"/>
      <c r="F1864" s="1"/>
      <c r="G1864" s="1"/>
    </row>
    <row r="1865" spans="2:7" ht="12.75" customHeight="1">
      <c r="B1865" s="2"/>
      <c r="C1865" s="2" t="s">
        <v>3</v>
      </c>
      <c r="D1865" s="3" t="s">
        <v>41</v>
      </c>
      <c r="E1865" s="3"/>
      <c r="F1865" s="4" t="s">
        <v>109</v>
      </c>
      <c r="G1865" s="4"/>
    </row>
    <row r="1866" spans="2:7" ht="12.75">
      <c r="B1866" s="2"/>
      <c r="C1866" s="2"/>
      <c r="D1866" s="3" t="s">
        <v>6</v>
      </c>
      <c r="E1866" s="3" t="s">
        <v>7</v>
      </c>
      <c r="F1866" s="3" t="s">
        <v>6</v>
      </c>
      <c r="G1866" s="3" t="s">
        <v>8</v>
      </c>
    </row>
    <row r="1867" spans="2:7" ht="12.75">
      <c r="B1867" s="5">
        <v>1</v>
      </c>
      <c r="C1867" s="6" t="s">
        <v>9</v>
      </c>
      <c r="D1867" s="13">
        <v>886.74</v>
      </c>
      <c r="E1867" s="13"/>
      <c r="F1867" s="13">
        <v>886.74</v>
      </c>
      <c r="G1867" s="13"/>
    </row>
    <row r="1868" spans="2:7" ht="12.75">
      <c r="B1868" s="5">
        <v>2</v>
      </c>
      <c r="C1868" s="7" t="s">
        <v>67</v>
      </c>
      <c r="D1868" s="8"/>
      <c r="E1868" s="8"/>
      <c r="F1868" s="8" t="s">
        <v>3</v>
      </c>
      <c r="G1868" s="8"/>
    </row>
    <row r="1869" spans="2:7" ht="12.75">
      <c r="B1869" s="5"/>
      <c r="C1869" s="2" t="s">
        <v>49</v>
      </c>
      <c r="D1869" s="9"/>
      <c r="E1869" s="9"/>
      <c r="F1869" s="9">
        <v>213728.94</v>
      </c>
      <c r="G1869" s="9"/>
    </row>
    <row r="1870" spans="2:7" ht="12.75">
      <c r="B1870" s="5"/>
      <c r="C1870" s="2" t="s">
        <v>50</v>
      </c>
      <c r="D1870" s="9"/>
      <c r="E1870" s="9"/>
      <c r="F1870" s="9">
        <v>216818.25</v>
      </c>
      <c r="G1870" s="9"/>
    </row>
    <row r="1871" spans="2:7" ht="12.75">
      <c r="B1871" s="5"/>
      <c r="C1871" s="2" t="s">
        <v>13</v>
      </c>
      <c r="D1871" s="9"/>
      <c r="E1871" s="9"/>
      <c r="F1871" s="9">
        <f>F1870-F1869</f>
        <v>3089.3099999999977</v>
      </c>
      <c r="G1871" s="9"/>
    </row>
    <row r="1872" spans="2:7" ht="12.75">
      <c r="B1872" s="5">
        <v>3</v>
      </c>
      <c r="C1872" s="10" t="s">
        <v>14</v>
      </c>
      <c r="D1872" s="1" t="s">
        <v>15</v>
      </c>
      <c r="E1872" s="1"/>
      <c r="F1872" s="1" t="s">
        <v>15</v>
      </c>
      <c r="G1872" s="1"/>
    </row>
    <row r="1873" spans="2:7" ht="12.75">
      <c r="B1873" s="11" t="s">
        <v>16</v>
      </c>
      <c r="C1873" s="11"/>
      <c r="D1873" s="13">
        <f>E1873*D1867*12/1000</f>
        <v>28.8367848</v>
      </c>
      <c r="E1873" s="13">
        <v>2.71</v>
      </c>
      <c r="F1873" s="13">
        <v>28.85</v>
      </c>
      <c r="G1873" s="13">
        <f>F1873/886.74/12*1000</f>
        <v>2.7112419273593917</v>
      </c>
    </row>
    <row r="1874" spans="2:7" ht="12.75" customHeight="1">
      <c r="B1874" s="14" t="s">
        <v>17</v>
      </c>
      <c r="C1874" s="14"/>
      <c r="D1874" s="1">
        <f>D1875+D1876+D1877</f>
        <v>59.699999999999996</v>
      </c>
      <c r="E1874" s="13">
        <f>D1874/886.74/12*1000</f>
        <v>5.610438234431737</v>
      </c>
      <c r="F1874" s="12">
        <f>F1875+F1876+F1877</f>
        <v>76.44</v>
      </c>
      <c r="G1874" s="13">
        <f>F1874/886.74/12*1000</f>
        <v>7.1836163926291805</v>
      </c>
    </row>
    <row r="1875" spans="2:7" ht="12.75">
      <c r="B1875" s="2"/>
      <c r="C1875" s="15" t="s">
        <v>18</v>
      </c>
      <c r="D1875" s="9">
        <v>46.3</v>
      </c>
      <c r="E1875" s="13">
        <f>D1875/886.74/12*1000</f>
        <v>4.351143890354933</v>
      </c>
      <c r="F1875" s="9">
        <f>17.03+28.5+0.81</f>
        <v>46.34</v>
      </c>
      <c r="G1875" s="13">
        <f>F1875/886.74/12*1000</f>
        <v>4.354902977949192</v>
      </c>
    </row>
    <row r="1876" spans="2:7" ht="12.75">
      <c r="B1876" s="2"/>
      <c r="C1876" s="15" t="s">
        <v>19</v>
      </c>
      <c r="D1876" s="9">
        <v>13.4</v>
      </c>
      <c r="E1876" s="13">
        <f>D1876/886.74/12*1000</f>
        <v>1.2592943440768056</v>
      </c>
      <c r="F1876" s="45">
        <v>27.3</v>
      </c>
      <c r="G1876" s="13">
        <f>F1876/886.74/12*1000</f>
        <v>2.56557728308185</v>
      </c>
    </row>
    <row r="1877" spans="2:7" ht="12.75">
      <c r="B1877" s="32" t="s">
        <v>20</v>
      </c>
      <c r="C1877" s="32"/>
      <c r="D1877" s="9">
        <f>E1877*D1869*12/1000</f>
        <v>0</v>
      </c>
      <c r="E1877" s="13">
        <v>0</v>
      </c>
      <c r="F1877" s="18">
        <v>2.8</v>
      </c>
      <c r="G1877" s="13">
        <f>F1877/886.74/12*1000</f>
        <v>0.2631361315981385</v>
      </c>
    </row>
    <row r="1878" spans="2:7" ht="12.75" customHeight="1">
      <c r="B1878" s="19" t="s">
        <v>21</v>
      </c>
      <c r="C1878" s="19"/>
      <c r="D1878" s="13">
        <f>D1879+D1881+D1880</f>
        <v>66.5055</v>
      </c>
      <c r="E1878" s="13">
        <f>D1878/886.74/12*1000</f>
        <v>6.249999999999999</v>
      </c>
      <c r="F1878" s="13">
        <f>F1879+F1881+F1880</f>
        <v>64.93</v>
      </c>
      <c r="G1878" s="13">
        <f>F1878/886.74/12*1000</f>
        <v>6.101938937381119</v>
      </c>
    </row>
    <row r="1879" spans="2:7" ht="12.75">
      <c r="B1879" s="2"/>
      <c r="C1879" s="15" t="s">
        <v>22</v>
      </c>
      <c r="D1879" s="9">
        <f>E1879*D1867*12/1000</f>
        <v>55.758211200000005</v>
      </c>
      <c r="E1879" s="13">
        <v>5.24</v>
      </c>
      <c r="F1879" s="8">
        <f>39.76+12.13+1.74+5.36+0.72+1.6+0.09+0.63</f>
        <v>62.03000000000001</v>
      </c>
      <c r="G1879" s="13">
        <f>F1879/886.74/12*1000</f>
        <v>5.829405086797333</v>
      </c>
    </row>
    <row r="1880" spans="2:7" ht="12.75">
      <c r="B1880" s="2"/>
      <c r="C1880" s="15" t="s">
        <v>23</v>
      </c>
      <c r="D1880" s="9">
        <f>E1880*D1867*12/1000</f>
        <v>9.8960184</v>
      </c>
      <c r="E1880" s="13">
        <v>0.93</v>
      </c>
      <c r="F1880" s="9">
        <v>2.9</v>
      </c>
      <c r="G1880" s="13">
        <f>F1880/886.74/12*1000</f>
        <v>0.27253385058378626</v>
      </c>
    </row>
    <row r="1881" spans="2:7" ht="12.75">
      <c r="B1881" s="2"/>
      <c r="C1881" s="20" t="s">
        <v>24</v>
      </c>
      <c r="D1881" s="9">
        <f>E1881*D1867*12/1000</f>
        <v>0.8512704</v>
      </c>
      <c r="E1881" s="13">
        <v>0.08</v>
      </c>
      <c r="F1881" s="9">
        <v>0</v>
      </c>
      <c r="G1881" s="13">
        <f>F1881/886.74/12*1000</f>
        <v>0</v>
      </c>
    </row>
    <row r="1882" spans="2:7" ht="12.75">
      <c r="B1882" s="11" t="s">
        <v>25</v>
      </c>
      <c r="C1882" s="11"/>
      <c r="D1882" s="9">
        <f>E1882*D1867*12/1000</f>
        <v>6.2781192</v>
      </c>
      <c r="E1882" s="13">
        <v>0.59</v>
      </c>
      <c r="F1882" s="13">
        <v>6.5</v>
      </c>
      <c r="G1882" s="13">
        <f>F1882/886.74/12*1000</f>
        <v>0.6108517340671072</v>
      </c>
    </row>
    <row r="1883" spans="2:7" ht="12.75">
      <c r="B1883" s="21" t="s">
        <v>26</v>
      </c>
      <c r="C1883" s="21"/>
      <c r="D1883" s="9">
        <f>E1883*D1867*12/1000</f>
        <v>32.880319199999995</v>
      </c>
      <c r="E1883" s="13">
        <v>3.09</v>
      </c>
      <c r="F1883" s="1">
        <f>6+27.35</f>
        <v>33.35</v>
      </c>
      <c r="G1883" s="13">
        <f>F1883/886.74/12*1000</f>
        <v>3.1341392817135425</v>
      </c>
    </row>
    <row r="1884" spans="2:7" ht="12.75">
      <c r="B1884" s="2"/>
      <c r="C1884" s="10" t="s">
        <v>28</v>
      </c>
      <c r="D1884" s="12">
        <f>D1873+D1874+D1878+D1882+D1883</f>
        <v>194.2007232</v>
      </c>
      <c r="E1884" s="12">
        <f>E1873+E1874+E1878+E1882+E1883</f>
        <v>18.250438234431737</v>
      </c>
      <c r="F1884" s="13">
        <f>F1873+F1874+F1878+F1882+F1883</f>
        <v>210.07</v>
      </c>
      <c r="G1884" s="13">
        <f>G1873+G1874+G1878+G1882+G1883</f>
        <v>19.74178827315034</v>
      </c>
    </row>
    <row r="1885" spans="2:7" ht="12.75">
      <c r="B1885" s="2">
        <v>4</v>
      </c>
      <c r="C1885" s="10" t="s">
        <v>29</v>
      </c>
      <c r="D1885" s="13">
        <v>19.41</v>
      </c>
      <c r="E1885" s="12">
        <v>1.8</v>
      </c>
      <c r="F1885" s="12"/>
      <c r="G1885" s="12"/>
    </row>
    <row r="1886" spans="2:7" ht="12.75">
      <c r="B1886" s="5">
        <v>5</v>
      </c>
      <c r="C1886" s="10" t="s">
        <v>13</v>
      </c>
      <c r="D1886" s="13">
        <f>D1884+D1885</f>
        <v>213.6107232</v>
      </c>
      <c r="E1886" s="13">
        <f>E1884+E1885</f>
        <v>20.050438234431738</v>
      </c>
      <c r="F1886" s="13">
        <f>F1884-F1870/1000</f>
        <v>-6.748250000000013</v>
      </c>
      <c r="G1886" s="13"/>
    </row>
    <row r="1887" spans="2:7" ht="12.75">
      <c r="B1887" s="5"/>
      <c r="C1887" s="10"/>
      <c r="D1887" s="13"/>
      <c r="E1887" s="13"/>
      <c r="F1887" s="13"/>
      <c r="G1887" s="13"/>
    </row>
    <row r="1888" spans="2:7" ht="12.75">
      <c r="B1888" s="5"/>
      <c r="C1888" s="14" t="s">
        <v>127</v>
      </c>
      <c r="D1888" s="13"/>
      <c r="E1888" s="13"/>
      <c r="F1888" s="37">
        <v>278</v>
      </c>
      <c r="G1888" s="13"/>
    </row>
    <row r="1889" spans="2:7" ht="12.75">
      <c r="B1889" s="23" t="s">
        <v>39</v>
      </c>
      <c r="C1889" s="23"/>
      <c r="D1889" s="23"/>
      <c r="E1889" s="23"/>
      <c r="F1889" s="23"/>
      <c r="G1889" s="23"/>
    </row>
    <row r="1891" spans="2:7" ht="12.75">
      <c r="B1891" s="1" t="s">
        <v>0</v>
      </c>
      <c r="C1891" s="1"/>
      <c r="D1891" s="1"/>
      <c r="E1891" s="1"/>
      <c r="F1891" s="1"/>
      <c r="G1891" s="1"/>
    </row>
    <row r="1892" spans="2:7" ht="12.75">
      <c r="B1892" s="1" t="s">
        <v>51</v>
      </c>
      <c r="C1892" s="1"/>
      <c r="D1892" s="1"/>
      <c r="E1892" s="1"/>
      <c r="F1892" s="1"/>
      <c r="G1892" s="1"/>
    </row>
    <row r="1893" spans="2:7" ht="12.75">
      <c r="B1893" s="1" t="s">
        <v>131</v>
      </c>
      <c r="C1893" s="1"/>
      <c r="D1893" s="1"/>
      <c r="E1893" s="1"/>
      <c r="F1893" s="1"/>
      <c r="G1893" s="1"/>
    </row>
    <row r="1894" spans="2:7" ht="12.75" customHeight="1">
      <c r="B1894" s="2"/>
      <c r="C1894" s="2" t="s">
        <v>3</v>
      </c>
      <c r="D1894" s="3" t="s">
        <v>41</v>
      </c>
      <c r="E1894" s="3"/>
      <c r="F1894" s="4" t="s">
        <v>132</v>
      </c>
      <c r="G1894" s="4"/>
    </row>
    <row r="1895" spans="2:7" ht="12.75">
      <c r="B1895" s="2"/>
      <c r="C1895" s="2"/>
      <c r="D1895" s="3" t="s">
        <v>6</v>
      </c>
      <c r="E1895" s="3" t="s">
        <v>7</v>
      </c>
      <c r="F1895" s="3" t="s">
        <v>6</v>
      </c>
      <c r="G1895" s="3" t="s">
        <v>8</v>
      </c>
    </row>
    <row r="1896" spans="2:7" ht="12.75">
      <c r="B1896" s="5">
        <v>1</v>
      </c>
      <c r="C1896" s="6" t="s">
        <v>9</v>
      </c>
      <c r="D1896" s="13">
        <v>809.2</v>
      </c>
      <c r="E1896" s="13"/>
      <c r="F1896" s="13">
        <v>694.58</v>
      </c>
      <c r="G1896" s="13"/>
    </row>
    <row r="1897" spans="2:7" ht="12.75">
      <c r="B1897" s="5">
        <v>2</v>
      </c>
      <c r="C1897" s="7" t="s">
        <v>67</v>
      </c>
      <c r="D1897" s="8"/>
      <c r="E1897" s="8"/>
      <c r="F1897" s="8" t="s">
        <v>3</v>
      </c>
      <c r="G1897" s="8"/>
    </row>
    <row r="1898" spans="2:7" ht="12.75">
      <c r="B1898" s="5"/>
      <c r="C1898" s="2" t="s">
        <v>49</v>
      </c>
      <c r="D1898" s="9"/>
      <c r="E1898" s="9"/>
      <c r="F1898" s="9">
        <v>180894.75</v>
      </c>
      <c r="G1898" s="9"/>
    </row>
    <row r="1899" spans="2:7" ht="12.75">
      <c r="B1899" s="5"/>
      <c r="C1899" s="2" t="s">
        <v>50</v>
      </c>
      <c r="D1899" s="9"/>
      <c r="E1899" s="9"/>
      <c r="F1899" s="9">
        <v>228107.79</v>
      </c>
      <c r="G1899" s="9"/>
    </row>
    <row r="1900" spans="2:7" ht="12.75">
      <c r="B1900" s="5"/>
      <c r="C1900" s="2" t="s">
        <v>13</v>
      </c>
      <c r="D1900" s="9"/>
      <c r="E1900" s="9"/>
      <c r="F1900" s="9">
        <f>F1899-F1898</f>
        <v>47213.04000000001</v>
      </c>
      <c r="G1900" s="9"/>
    </row>
    <row r="1901" spans="2:7" ht="12.75">
      <c r="B1901" s="5">
        <v>3</v>
      </c>
      <c r="C1901" s="10" t="s">
        <v>14</v>
      </c>
      <c r="D1901" s="1" t="s">
        <v>15</v>
      </c>
      <c r="E1901" s="1"/>
      <c r="F1901" s="1" t="s">
        <v>15</v>
      </c>
      <c r="G1901" s="1"/>
    </row>
    <row r="1902" spans="2:7" ht="12.75">
      <c r="B1902" s="11" t="s">
        <v>16</v>
      </c>
      <c r="C1902" s="11"/>
      <c r="D1902" s="13">
        <f>E1902*D1896*12/1000</f>
        <v>26.315184000000002</v>
      </c>
      <c r="E1902" s="13">
        <v>2.71</v>
      </c>
      <c r="F1902" s="13">
        <v>24.4</v>
      </c>
      <c r="G1902" s="13">
        <f>F1902/809.2/10*1000</f>
        <v>3.015323776569451</v>
      </c>
    </row>
    <row r="1903" spans="2:7" ht="12.75" customHeight="1">
      <c r="B1903" s="14" t="s">
        <v>17</v>
      </c>
      <c r="C1903" s="14"/>
      <c r="D1903" s="1">
        <f>D1904+D1905+D1906</f>
        <v>54.400000000000006</v>
      </c>
      <c r="E1903" s="13">
        <f>D1903/809.2/12*1000</f>
        <v>5.602240896358543</v>
      </c>
      <c r="F1903" s="12">
        <f>F1904+F1905+F1906</f>
        <v>49</v>
      </c>
      <c r="G1903" s="13">
        <f>F1903/809.2/10*1000</f>
        <v>6.055363321799308</v>
      </c>
    </row>
    <row r="1904" spans="2:7" ht="12.75">
      <c r="B1904" s="2"/>
      <c r="C1904" s="15" t="s">
        <v>18</v>
      </c>
      <c r="D1904" s="9">
        <v>42.2</v>
      </c>
      <c r="E1904" s="13">
        <f>D1904/809.2/12*1000</f>
        <v>4.345855989454605</v>
      </c>
      <c r="F1904" s="9">
        <f>13.33+1.62+22.31</f>
        <v>37.26</v>
      </c>
      <c r="G1904" s="13">
        <f>F1904/809.2/10*1000</f>
        <v>4.604547701433514</v>
      </c>
    </row>
    <row r="1905" spans="2:7" ht="12.75">
      <c r="B1905" s="2"/>
      <c r="C1905" s="15" t="s">
        <v>19</v>
      </c>
      <c r="D1905" s="18">
        <v>12.2</v>
      </c>
      <c r="E1905" s="13">
        <f>D1905/809.2/12*1000</f>
        <v>1.256384906903938</v>
      </c>
      <c r="F1905" s="45">
        <v>11.74</v>
      </c>
      <c r="G1905" s="13">
        <f>F1905/809.2/10*1000</f>
        <v>1.4508156203657934</v>
      </c>
    </row>
    <row r="1906" spans="2:7" ht="12.75">
      <c r="B1906" s="32" t="s">
        <v>20</v>
      </c>
      <c r="C1906" s="32"/>
      <c r="D1906" s="18">
        <v>0</v>
      </c>
      <c r="E1906" s="13">
        <f>D1906/809.2/12*1000</f>
        <v>0</v>
      </c>
      <c r="F1906" s="18">
        <v>0</v>
      </c>
      <c r="G1906" s="13">
        <f>F1906/809.2/10*1000</f>
        <v>0</v>
      </c>
    </row>
    <row r="1907" spans="2:7" ht="12.75" customHeight="1">
      <c r="B1907" s="19" t="s">
        <v>21</v>
      </c>
      <c r="C1907" s="19"/>
      <c r="D1907" s="13">
        <f>D1908+D1910+D1909</f>
        <v>60.690000000000005</v>
      </c>
      <c r="E1907" s="13">
        <f>D1907/809.2/12*1000</f>
        <v>6.249999999999999</v>
      </c>
      <c r="F1907" s="13">
        <f>F1908+F1910+F1909</f>
        <v>59.14</v>
      </c>
      <c r="G1907" s="13">
        <f>F1907/809.2/10*1000</f>
        <v>7.308452792881859</v>
      </c>
    </row>
    <row r="1908" spans="2:7" ht="12.75">
      <c r="B1908" s="2"/>
      <c r="C1908" s="15" t="s">
        <v>22</v>
      </c>
      <c r="D1908" s="9">
        <f>E1908*D1896*12/1000</f>
        <v>50.882496</v>
      </c>
      <c r="E1908" s="13">
        <v>5.24</v>
      </c>
      <c r="F1908" s="8">
        <f>31.15+9.5+1.36+4.2+0.66+3.75+5.7+0.09+0.57</f>
        <v>56.980000000000004</v>
      </c>
      <c r="G1908" s="13">
        <f>F1908/809.2/10*1000</f>
        <v>7.041522491349481</v>
      </c>
    </row>
    <row r="1909" spans="2:7" ht="12.75">
      <c r="B1909" s="2"/>
      <c r="C1909" s="15" t="s">
        <v>23</v>
      </c>
      <c r="D1909" s="9">
        <f>E1909*D1896*12/1000</f>
        <v>9.030672000000001</v>
      </c>
      <c r="E1909" s="13">
        <v>0.93</v>
      </c>
      <c r="F1909" s="9">
        <v>2.16</v>
      </c>
      <c r="G1909" s="13">
        <f>F1909/809.2/10*1000</f>
        <v>0.2669303015323776</v>
      </c>
    </row>
    <row r="1910" spans="2:7" ht="12.75">
      <c r="B1910" s="2"/>
      <c r="C1910" s="20" t="s">
        <v>24</v>
      </c>
      <c r="D1910" s="9">
        <f>E1910*D1896*12/1000</f>
        <v>0.7768320000000001</v>
      </c>
      <c r="E1910" s="13">
        <v>0.08</v>
      </c>
      <c r="F1910" s="9">
        <v>0</v>
      </c>
      <c r="G1910" s="13">
        <f>F1910/809.2/10*1000</f>
        <v>0</v>
      </c>
    </row>
    <row r="1911" spans="2:7" ht="12.75">
      <c r="B1911" s="11" t="s">
        <v>25</v>
      </c>
      <c r="C1911" s="11"/>
      <c r="D1911" s="9">
        <f>E1911*D1896*12/1000</f>
        <v>5.7291360000000005</v>
      </c>
      <c r="E1911" s="13">
        <v>0.59</v>
      </c>
      <c r="F1911" s="13">
        <v>6.84</v>
      </c>
      <c r="G1911" s="13">
        <f>F1911/809.2/10*1000</f>
        <v>0.8452792881858625</v>
      </c>
    </row>
    <row r="1912" spans="2:7" ht="12.75">
      <c r="B1912" s="21" t="s">
        <v>26</v>
      </c>
      <c r="C1912" s="21"/>
      <c r="D1912" s="9">
        <f>E1912*D1896*12/1000</f>
        <v>30.005136</v>
      </c>
      <c r="E1912" s="13">
        <v>3.09</v>
      </c>
      <c r="F1912" s="1">
        <f>4.67+21.42</f>
        <v>26.090000000000003</v>
      </c>
      <c r="G1912" s="13">
        <f>F1912/809.2/10*1000</f>
        <v>3.2241720217498764</v>
      </c>
    </row>
    <row r="1913" spans="2:7" ht="12.75">
      <c r="B1913" s="2"/>
      <c r="C1913" s="10" t="s">
        <v>28</v>
      </c>
      <c r="D1913" s="12">
        <f>D1902+D1903+D1907+D1911+D1912</f>
        <v>177.13945600000002</v>
      </c>
      <c r="E1913" s="12">
        <f>E1902+E1903+E1907+E1911+E1912</f>
        <v>18.242240896358542</v>
      </c>
      <c r="F1913" s="12">
        <f>F1902+F1903+F1907+F1911+F1912</f>
        <v>165.47000000000003</v>
      </c>
      <c r="G1913" s="13">
        <f>G1902+G1903+G1907+G1911+G1912</f>
        <v>20.448591201186357</v>
      </c>
    </row>
    <row r="1914" spans="2:7" ht="12.75">
      <c r="B1914" s="2">
        <v>4</v>
      </c>
      <c r="C1914" s="10" t="s">
        <v>29</v>
      </c>
      <c r="D1914" s="13">
        <v>17.7</v>
      </c>
      <c r="E1914" s="12">
        <v>1.81</v>
      </c>
      <c r="F1914" s="12"/>
      <c r="G1914" s="12"/>
    </row>
    <row r="1915" spans="2:7" ht="12.75">
      <c r="B1915" s="5">
        <v>5</v>
      </c>
      <c r="C1915" s="10" t="s">
        <v>13</v>
      </c>
      <c r="D1915" s="13">
        <f>D1913+D1914</f>
        <v>194.839456</v>
      </c>
      <c r="E1915" s="13">
        <f>E1913+E1914</f>
        <v>20.05224089635854</v>
      </c>
      <c r="F1915" s="13">
        <f>F1913-F1899/1000</f>
        <v>-62.63778999999997</v>
      </c>
      <c r="G1915" s="13"/>
    </row>
    <row r="1916" spans="2:7" ht="12.75">
      <c r="B1916" s="5"/>
      <c r="C1916" s="10"/>
      <c r="D1916" s="13"/>
      <c r="E1916" s="13"/>
      <c r="F1916" s="13"/>
      <c r="G1916" s="13"/>
    </row>
    <row r="1917" spans="2:7" ht="12.75">
      <c r="B1917" s="5"/>
      <c r="C1917" s="14" t="s">
        <v>127</v>
      </c>
      <c r="D1917" s="13"/>
      <c r="E1917" s="13"/>
      <c r="F1917" s="37">
        <v>350.2</v>
      </c>
      <c r="G1917" s="13"/>
    </row>
    <row r="1918" spans="2:7" ht="12.75">
      <c r="B1918" s="23" t="s">
        <v>39</v>
      </c>
      <c r="C1918" s="23"/>
      <c r="D1918" s="23"/>
      <c r="E1918" s="23"/>
      <c r="F1918" s="23"/>
      <c r="G1918" s="23"/>
    </row>
    <row r="1920" spans="2:7" ht="12.75">
      <c r="B1920" s="1" t="s">
        <v>0</v>
      </c>
      <c r="C1920" s="1"/>
      <c r="D1920" s="1"/>
      <c r="E1920" s="1"/>
      <c r="F1920" s="1"/>
      <c r="G1920" s="1"/>
    </row>
    <row r="1921" spans="2:7" ht="12.75">
      <c r="B1921" s="1" t="s">
        <v>51</v>
      </c>
      <c r="C1921" s="1"/>
      <c r="D1921" s="1"/>
      <c r="E1921" s="1"/>
      <c r="F1921" s="1"/>
      <c r="G1921" s="1"/>
    </row>
    <row r="1922" spans="2:7" ht="12.75">
      <c r="B1922" s="1" t="s">
        <v>133</v>
      </c>
      <c r="C1922" s="1"/>
      <c r="D1922" s="1"/>
      <c r="E1922" s="1"/>
      <c r="F1922" s="1"/>
      <c r="G1922" s="1"/>
    </row>
    <row r="1923" spans="2:7" ht="12.75" customHeight="1">
      <c r="B1923" s="2"/>
      <c r="C1923" s="2" t="s">
        <v>3</v>
      </c>
      <c r="D1923" s="3" t="s">
        <v>41</v>
      </c>
      <c r="E1923" s="3"/>
      <c r="F1923" s="4" t="s">
        <v>109</v>
      </c>
      <c r="G1923" s="4"/>
    </row>
    <row r="1924" spans="2:7" ht="12.75">
      <c r="B1924" s="2"/>
      <c r="C1924" s="2"/>
      <c r="D1924" s="3" t="s">
        <v>6</v>
      </c>
      <c r="E1924" s="3" t="s">
        <v>7</v>
      </c>
      <c r="F1924" s="3" t="s">
        <v>6</v>
      </c>
      <c r="G1924" s="3" t="s">
        <v>8</v>
      </c>
    </row>
    <row r="1925" spans="2:7" ht="12.75">
      <c r="B1925" s="5">
        <v>1</v>
      </c>
      <c r="C1925" s="6" t="s">
        <v>9</v>
      </c>
      <c r="D1925" s="13">
        <v>1334.85</v>
      </c>
      <c r="E1925" s="13"/>
      <c r="F1925" s="13">
        <v>1334.85</v>
      </c>
      <c r="G1925" s="13"/>
    </row>
    <row r="1926" spans="2:7" ht="12.75">
      <c r="B1926" s="5">
        <v>2</v>
      </c>
      <c r="C1926" s="7" t="s">
        <v>95</v>
      </c>
      <c r="D1926" s="8"/>
      <c r="E1926" s="8"/>
      <c r="F1926" s="8" t="s">
        <v>3</v>
      </c>
      <c r="G1926" s="8"/>
    </row>
    <row r="1927" spans="2:7" ht="12.75">
      <c r="B1927" s="5"/>
      <c r="C1927" s="2" t="s">
        <v>49</v>
      </c>
      <c r="D1927" s="9"/>
      <c r="E1927" s="9"/>
      <c r="F1927" s="9">
        <v>321183.46</v>
      </c>
      <c r="G1927" s="9"/>
    </row>
    <row r="1928" spans="2:7" ht="12.75">
      <c r="B1928" s="5"/>
      <c r="C1928" s="2" t="s">
        <v>50</v>
      </c>
      <c r="D1928" s="9"/>
      <c r="E1928" s="9"/>
      <c r="F1928" s="9">
        <v>313389.78</v>
      </c>
      <c r="G1928" s="9"/>
    </row>
    <row r="1929" spans="2:7" ht="12.75">
      <c r="B1929" s="5"/>
      <c r="C1929" s="2" t="s">
        <v>13</v>
      </c>
      <c r="D1929" s="9"/>
      <c r="E1929" s="9"/>
      <c r="F1929" s="9">
        <f>F1928-F1927</f>
        <v>-7793.679999999993</v>
      </c>
      <c r="G1929" s="9"/>
    </row>
    <row r="1930" spans="2:7" ht="12.75">
      <c r="B1930" s="5">
        <v>3</v>
      </c>
      <c r="C1930" s="10" t="s">
        <v>14</v>
      </c>
      <c r="D1930" s="1" t="s">
        <v>15</v>
      </c>
      <c r="E1930" s="1"/>
      <c r="F1930" s="1" t="s">
        <v>15</v>
      </c>
      <c r="G1930" s="1"/>
    </row>
    <row r="1931" spans="2:7" ht="12.75">
      <c r="B1931" s="11" t="s">
        <v>16</v>
      </c>
      <c r="C1931" s="11"/>
      <c r="D1931" s="13">
        <f>E1931*D1925*12/1000</f>
        <v>43.409322</v>
      </c>
      <c r="E1931" s="13">
        <v>2.71</v>
      </c>
      <c r="F1931" s="13">
        <v>43.36</v>
      </c>
      <c r="G1931" s="13">
        <f>F1931/1334.85/12*1000</f>
        <v>2.7069208775018416</v>
      </c>
    </row>
    <row r="1932" spans="2:7" ht="12.75" customHeight="1">
      <c r="B1932" s="14" t="s">
        <v>17</v>
      </c>
      <c r="C1932" s="14"/>
      <c r="D1932" s="1">
        <f>D1933+D1934+D1935</f>
        <v>89.9</v>
      </c>
      <c r="E1932" s="13">
        <f>D1932/1334.85/12*1000</f>
        <v>5.612365933750359</v>
      </c>
      <c r="F1932" s="12">
        <f>F1933+F1934+F1935</f>
        <v>98.66999999999999</v>
      </c>
      <c r="G1932" s="13">
        <f>F1932/1334.85/12*1000</f>
        <v>6.159868149979398</v>
      </c>
    </row>
    <row r="1933" spans="2:7" ht="12.75">
      <c r="B1933" s="2"/>
      <c r="C1933" s="15" t="s">
        <v>18</v>
      </c>
      <c r="D1933" s="9">
        <v>69.8</v>
      </c>
      <c r="E1933" s="13">
        <f>D1933/1334.85/12*1000</f>
        <v>4.357543294502503</v>
      </c>
      <c r="F1933" s="9">
        <f>25.63+7.04+42.9</f>
        <v>75.57</v>
      </c>
      <c r="G1933" s="13">
        <f>F1933/1334.85/12*1000</f>
        <v>4.717758549649774</v>
      </c>
    </row>
    <row r="1934" spans="2:7" ht="12.75">
      <c r="B1934" s="2"/>
      <c r="C1934" s="15" t="s">
        <v>19</v>
      </c>
      <c r="D1934" s="9">
        <v>20.1</v>
      </c>
      <c r="E1934" s="13">
        <f>D1934/1334.85/12*1000</f>
        <v>1.2548226392478559</v>
      </c>
      <c r="F1934" s="45">
        <v>23.1</v>
      </c>
      <c r="G1934" s="13">
        <f>F1934/1334.85/12*1000</f>
        <v>1.4421096003296252</v>
      </c>
    </row>
    <row r="1935" spans="2:7" ht="12.75">
      <c r="B1935" s="32" t="s">
        <v>20</v>
      </c>
      <c r="C1935" s="32"/>
      <c r="D1935" s="18">
        <v>0</v>
      </c>
      <c r="E1935" s="13">
        <f>D1935/1335.1/12*1000</f>
        <v>0</v>
      </c>
      <c r="F1935" s="18">
        <v>0</v>
      </c>
      <c r="G1935" s="13">
        <f>F1935/1334.85/12*1000</f>
        <v>0</v>
      </c>
    </row>
    <row r="1936" spans="2:7" ht="12.75" customHeight="1">
      <c r="B1936" s="19" t="s">
        <v>21</v>
      </c>
      <c r="C1936" s="19"/>
      <c r="D1936" s="13">
        <f>D1937+D1939+D1938</f>
        <v>100.11374999999998</v>
      </c>
      <c r="E1936" s="13">
        <f>D1936/1334.85/12*1000</f>
        <v>6.249999999999999</v>
      </c>
      <c r="F1936" s="13">
        <f>F1937+F1939+F1938</f>
        <v>101.53999999999999</v>
      </c>
      <c r="G1936" s="13">
        <f>F1936/1334.85/12*1000</f>
        <v>6.339039342747624</v>
      </c>
    </row>
    <row r="1937" spans="2:7" ht="12.75">
      <c r="B1937" s="2"/>
      <c r="C1937" s="15" t="s">
        <v>22</v>
      </c>
      <c r="D1937" s="9">
        <f>E1937*D1925*12/1000</f>
        <v>83.93536799999998</v>
      </c>
      <c r="E1937" s="13">
        <v>5.24</v>
      </c>
      <c r="F1937" s="8">
        <f>59.86+18.26+2.62+8.07+1.09+3.71+3.6+0.14+0.94</f>
        <v>98.28999999999999</v>
      </c>
      <c r="G1937" s="13">
        <f>F1937/1334.85/12*1000</f>
        <v>6.136145134909041</v>
      </c>
    </row>
    <row r="1938" spans="2:7" ht="12.75">
      <c r="B1938" s="2"/>
      <c r="C1938" s="15" t="s">
        <v>23</v>
      </c>
      <c r="D1938" s="9">
        <f>E1938*D1925*12/1000</f>
        <v>14.896925999999999</v>
      </c>
      <c r="E1938" s="13">
        <v>0.93</v>
      </c>
      <c r="F1938" s="9">
        <v>3.25</v>
      </c>
      <c r="G1938" s="13">
        <f>F1938/1334.85/12*1000</f>
        <v>0.2028942078385836</v>
      </c>
    </row>
    <row r="1939" spans="2:7" ht="12.75">
      <c r="B1939" s="2"/>
      <c r="C1939" s="20" t="s">
        <v>24</v>
      </c>
      <c r="D1939" s="9">
        <f>E1939*D1925*12/1000</f>
        <v>1.281456</v>
      </c>
      <c r="E1939" s="13">
        <v>0.08</v>
      </c>
      <c r="F1939" s="9">
        <v>0</v>
      </c>
      <c r="G1939" s="13">
        <f>F1939/1334.85/12*1000</f>
        <v>0</v>
      </c>
    </row>
    <row r="1940" spans="2:7" ht="12.75">
      <c r="B1940" s="11" t="s">
        <v>25</v>
      </c>
      <c r="C1940" s="11"/>
      <c r="D1940" s="9">
        <f>E1940*D1925*12/1000</f>
        <v>9.450738</v>
      </c>
      <c r="E1940" s="13">
        <v>0.59</v>
      </c>
      <c r="F1940" s="13">
        <v>9.34</v>
      </c>
      <c r="G1940" s="13">
        <f>F1940/1334.85/12*1000</f>
        <v>0.5830867388345757</v>
      </c>
    </row>
    <row r="1941" spans="2:7" ht="12.75">
      <c r="B1941" s="21" t="s">
        <v>26</v>
      </c>
      <c r="C1941" s="21"/>
      <c r="D1941" s="9">
        <f>E1941*D1925*12/1000</f>
        <v>49.496238</v>
      </c>
      <c r="E1941" s="13">
        <v>3.09</v>
      </c>
      <c r="F1941" s="1">
        <f>8.97+41.17</f>
        <v>50.14</v>
      </c>
      <c r="G1941" s="13">
        <f>F1941/1334.85/12*1000</f>
        <v>3.130189409546641</v>
      </c>
    </row>
    <row r="1942" spans="2:7" ht="12.75">
      <c r="B1942" s="2"/>
      <c r="C1942" s="10" t="s">
        <v>28</v>
      </c>
      <c r="D1942" s="12">
        <f>D1931+D1932+D1936+D1940+D1941</f>
        <v>292.370048</v>
      </c>
      <c r="E1942" s="12">
        <f>E1931+E1932+E1936+E1940+E1941</f>
        <v>18.252365933750358</v>
      </c>
      <c r="F1942" s="12">
        <f>F1931+F1932+F1936+F1940+F1941</f>
        <v>303.04999999999995</v>
      </c>
      <c r="G1942" s="13">
        <f>G1931+G1932+G1936+G1940+G1941</f>
        <v>18.91910451861008</v>
      </c>
    </row>
    <row r="1943" spans="2:7" ht="12.75">
      <c r="B1943" s="2">
        <v>4</v>
      </c>
      <c r="C1943" s="10" t="s">
        <v>29</v>
      </c>
      <c r="D1943" s="13">
        <v>29.24</v>
      </c>
      <c r="E1943" s="12">
        <v>1.8</v>
      </c>
      <c r="F1943" s="12"/>
      <c r="G1943" s="12"/>
    </row>
    <row r="1944" spans="2:7" ht="12.75">
      <c r="B1944" s="5">
        <v>5</v>
      </c>
      <c r="C1944" s="10" t="s">
        <v>13</v>
      </c>
      <c r="D1944" s="13">
        <f>D1942+D1943</f>
        <v>321.610048</v>
      </c>
      <c r="E1944" s="13">
        <f>E1942+E1943</f>
        <v>20.05236593375036</v>
      </c>
      <c r="F1944" s="13">
        <f>F1942-F1928/1000</f>
        <v>-10.339780000000076</v>
      </c>
      <c r="G1944" s="13"/>
    </row>
    <row r="1945" spans="2:7" ht="12.75">
      <c r="B1945" s="5"/>
      <c r="C1945" s="10"/>
      <c r="D1945" s="13"/>
      <c r="E1945" s="13"/>
      <c r="F1945" s="13"/>
      <c r="G1945" s="13"/>
    </row>
    <row r="1946" spans="2:7" ht="12.75">
      <c r="B1946" s="5"/>
      <c r="C1946" s="14" t="s">
        <v>127</v>
      </c>
      <c r="D1946" s="13"/>
      <c r="E1946" s="13"/>
      <c r="F1946" s="37">
        <v>206.03</v>
      </c>
      <c r="G1946" s="13"/>
    </row>
    <row r="1947" spans="2:7" ht="12.75">
      <c r="B1947" s="23" t="s">
        <v>39</v>
      </c>
      <c r="C1947" s="23"/>
      <c r="D1947" s="23"/>
      <c r="E1947" s="23"/>
      <c r="F1947" s="23"/>
      <c r="G1947" s="23"/>
    </row>
    <row r="1949" spans="2:7" ht="12.75">
      <c r="B1949" s="1" t="s">
        <v>0</v>
      </c>
      <c r="C1949" s="1"/>
      <c r="D1949" s="1"/>
      <c r="E1949" s="1"/>
      <c r="F1949" s="1"/>
      <c r="G1949" s="1"/>
    </row>
    <row r="1950" spans="2:7" ht="12.75">
      <c r="B1950" s="1" t="s">
        <v>51</v>
      </c>
      <c r="C1950" s="1"/>
      <c r="D1950" s="1"/>
      <c r="E1950" s="1"/>
      <c r="F1950" s="1"/>
      <c r="G1950" s="1"/>
    </row>
    <row r="1951" spans="2:7" ht="12.75">
      <c r="B1951" s="1" t="s">
        <v>134</v>
      </c>
      <c r="C1951" s="1"/>
      <c r="D1951" s="1"/>
      <c r="E1951" s="1"/>
      <c r="F1951" s="1"/>
      <c r="G1951" s="1"/>
    </row>
    <row r="1952" spans="2:7" ht="12.75" customHeight="1">
      <c r="B1952" s="2"/>
      <c r="C1952" s="2" t="s">
        <v>3</v>
      </c>
      <c r="D1952" s="3" t="s">
        <v>41</v>
      </c>
      <c r="E1952" s="3"/>
      <c r="F1952" s="4" t="s">
        <v>109</v>
      </c>
      <c r="G1952" s="4"/>
    </row>
    <row r="1953" spans="2:7" ht="12.75">
      <c r="B1953" s="2"/>
      <c r="C1953" s="2"/>
      <c r="D1953" s="3" t="s">
        <v>6</v>
      </c>
      <c r="E1953" s="3" t="s">
        <v>7</v>
      </c>
      <c r="F1953" s="3" t="s">
        <v>6</v>
      </c>
      <c r="G1953" s="3" t="s">
        <v>8</v>
      </c>
    </row>
    <row r="1954" spans="2:7" ht="12.75">
      <c r="B1954" s="5">
        <v>1</v>
      </c>
      <c r="C1954" s="6" t="s">
        <v>9</v>
      </c>
      <c r="D1954" s="13">
        <v>2192.7</v>
      </c>
      <c r="E1954" s="13"/>
      <c r="F1954" s="13">
        <v>2192.7</v>
      </c>
      <c r="G1954" s="13"/>
    </row>
    <row r="1955" spans="2:7" ht="12.75">
      <c r="B1955" s="5">
        <v>2</v>
      </c>
      <c r="C1955" s="7" t="s">
        <v>55</v>
      </c>
      <c r="D1955" s="8"/>
      <c r="E1955" s="8"/>
      <c r="F1955" s="8" t="s">
        <v>3</v>
      </c>
      <c r="G1955" s="8"/>
    </row>
    <row r="1956" spans="2:7" ht="12.75">
      <c r="B1956" s="5"/>
      <c r="C1956" s="20" t="s">
        <v>56</v>
      </c>
      <c r="D1956" s="9"/>
      <c r="E1956" s="9"/>
      <c r="F1956" s="9">
        <v>527563.62</v>
      </c>
      <c r="G1956" s="9"/>
    </row>
    <row r="1957" spans="2:7" ht="12.75">
      <c r="B1957" s="5"/>
      <c r="C1957" s="34" t="s">
        <v>57</v>
      </c>
      <c r="D1957" s="9"/>
      <c r="E1957" s="9"/>
      <c r="F1957" s="9">
        <v>520248.81</v>
      </c>
      <c r="G1957" s="9"/>
    </row>
    <row r="1958" spans="2:7" ht="12.75">
      <c r="B1958" s="5"/>
      <c r="C1958" s="2" t="s">
        <v>13</v>
      </c>
      <c r="D1958" s="9"/>
      <c r="E1958" s="9"/>
      <c r="F1958" s="9">
        <f>F1957-F1956</f>
        <v>-7314.809999999998</v>
      </c>
      <c r="G1958" s="9"/>
    </row>
    <row r="1959" spans="2:7" ht="12.75">
      <c r="B1959" s="5">
        <v>3</v>
      </c>
      <c r="C1959" s="10" t="s">
        <v>14</v>
      </c>
      <c r="D1959" s="1" t="s">
        <v>15</v>
      </c>
      <c r="E1959" s="1"/>
      <c r="F1959" s="1" t="s">
        <v>15</v>
      </c>
      <c r="G1959" s="1"/>
    </row>
    <row r="1960" spans="2:7" ht="12.75">
      <c r="B1960" s="11" t="s">
        <v>16</v>
      </c>
      <c r="C1960" s="11"/>
      <c r="D1960" s="13">
        <f>E1960*D1954*12/1000</f>
        <v>71.306604</v>
      </c>
      <c r="E1960" s="13">
        <v>2.71</v>
      </c>
      <c r="F1960" s="13">
        <v>71.22</v>
      </c>
      <c r="G1960" s="13">
        <f>F1960/2192.7/12*1000</f>
        <v>2.7067086240707803</v>
      </c>
    </row>
    <row r="1961" spans="2:7" ht="12.75" customHeight="1">
      <c r="B1961" s="14" t="s">
        <v>17</v>
      </c>
      <c r="C1961" s="14"/>
      <c r="D1961" s="1">
        <f>D1962+D1963+D1964</f>
        <v>147.6</v>
      </c>
      <c r="E1961" s="13">
        <f>D1961/2192.7/12*1000</f>
        <v>5.609522506498838</v>
      </c>
      <c r="F1961" s="12">
        <f>F1962+F1963+F1964</f>
        <v>227.2</v>
      </c>
      <c r="G1961" s="13">
        <f>F1961/2192.7/12*1000</f>
        <v>8.63471215092504</v>
      </c>
    </row>
    <row r="1962" spans="2:7" ht="12.75">
      <c r="B1962" s="2"/>
      <c r="C1962" s="15" t="s">
        <v>18</v>
      </c>
      <c r="D1962" s="9">
        <v>114.6</v>
      </c>
      <c r="E1962" s="13">
        <f>D1962/D1954/12*1000</f>
        <v>4.355360970493</v>
      </c>
      <c r="F1962" s="9">
        <f>42.1+3.64+70.44</f>
        <v>116.18</v>
      </c>
      <c r="G1962" s="13">
        <f>F1962/2192.7/12*1000</f>
        <v>4.415408704641158</v>
      </c>
    </row>
    <row r="1963" spans="2:7" ht="12.75">
      <c r="B1963" s="2"/>
      <c r="C1963" s="15" t="s">
        <v>19</v>
      </c>
      <c r="D1963" s="9">
        <v>33</v>
      </c>
      <c r="E1963" s="13">
        <f>D1963/2192.7/12*1000</f>
        <v>1.2541615360058378</v>
      </c>
      <c r="F1963" s="45">
        <v>111.02</v>
      </c>
      <c r="G1963" s="13">
        <f>F1963/2192.7/12*1000</f>
        <v>4.219303446283881</v>
      </c>
    </row>
    <row r="1964" spans="2:7" ht="12.75">
      <c r="B1964" s="32" t="s">
        <v>20</v>
      </c>
      <c r="C1964" s="32"/>
      <c r="D1964" s="18">
        <v>0</v>
      </c>
      <c r="E1964" s="13">
        <f>D1964/2193.8/12*1000</f>
        <v>0</v>
      </c>
      <c r="F1964" s="18">
        <v>0</v>
      </c>
      <c r="G1964" s="13">
        <f>F1964/2192.7/12*1000</f>
        <v>0</v>
      </c>
    </row>
    <row r="1965" spans="2:7" ht="12.75" customHeight="1">
      <c r="B1965" s="19" t="s">
        <v>21</v>
      </c>
      <c r="C1965" s="19"/>
      <c r="D1965" s="13">
        <f>D1966+D1968+D1967</f>
        <v>164.4525</v>
      </c>
      <c r="E1965" s="13">
        <f>D1965/2192.7/12*1000</f>
        <v>6.249999999999999</v>
      </c>
      <c r="F1965" s="13">
        <f>F1966+F1968+F1967</f>
        <v>167.02</v>
      </c>
      <c r="G1965" s="13">
        <f>F1965/2192.7/12*1000</f>
        <v>6.347577567990759</v>
      </c>
    </row>
    <row r="1966" spans="2:7" ht="12.75">
      <c r="B1966" s="2"/>
      <c r="C1966" s="15" t="s">
        <v>22</v>
      </c>
      <c r="D1966" s="9">
        <f>E1966*D1954*12/1000</f>
        <v>137.87697599999998</v>
      </c>
      <c r="E1966" s="13">
        <v>5.24</v>
      </c>
      <c r="F1966" s="8">
        <f>98.32+30+4.3+13.26+1.78+7.3+3.55+0.22+1.54</f>
        <v>160.27</v>
      </c>
      <c r="G1966" s="13">
        <f>F1966/2192.7/12*1000</f>
        <v>6.091044526535018</v>
      </c>
    </row>
    <row r="1967" spans="2:7" ht="12.75">
      <c r="B1967" s="2"/>
      <c r="C1967" s="15" t="s">
        <v>23</v>
      </c>
      <c r="D1967" s="9">
        <f>E1967*D1954*12/1000</f>
        <v>24.470532</v>
      </c>
      <c r="E1967" s="13">
        <v>0.93</v>
      </c>
      <c r="F1967" s="9">
        <v>5.65</v>
      </c>
      <c r="G1967" s="13">
        <f>F1967/2192.7/12*1000</f>
        <v>0.2147276569222116</v>
      </c>
    </row>
    <row r="1968" spans="2:7" ht="12.75">
      <c r="B1968" s="2"/>
      <c r="C1968" s="20" t="s">
        <v>24</v>
      </c>
      <c r="D1968" s="9">
        <f>E1968*D1954*12/1000</f>
        <v>2.104992</v>
      </c>
      <c r="E1968" s="13">
        <v>0.08</v>
      </c>
      <c r="F1968" s="9">
        <v>1.1</v>
      </c>
      <c r="G1968" s="13">
        <f>F1968/2192.7/12*1000</f>
        <v>0.041805384533527924</v>
      </c>
    </row>
    <row r="1969" spans="2:7" ht="12.75">
      <c r="B1969" s="11" t="s">
        <v>25</v>
      </c>
      <c r="C1969" s="11"/>
      <c r="D1969" s="9">
        <f>E1969*D1954*12/1000</f>
        <v>15.524315999999997</v>
      </c>
      <c r="E1969" s="13">
        <v>0.59</v>
      </c>
      <c r="F1969" s="13">
        <v>15.5</v>
      </c>
      <c r="G1969" s="13">
        <f>F1969/2192.7/12*1000</f>
        <v>0.5890758729724389</v>
      </c>
    </row>
    <row r="1970" spans="2:7" ht="12.75">
      <c r="B1970" s="21" t="s">
        <v>26</v>
      </c>
      <c r="C1970" s="21"/>
      <c r="D1970" s="9">
        <f>E1970*D1954*12/1000</f>
        <v>81.30531599999999</v>
      </c>
      <c r="E1970" s="13">
        <v>3.09</v>
      </c>
      <c r="F1970" s="1">
        <f>14.73+67.62</f>
        <v>82.35000000000001</v>
      </c>
      <c r="G1970" s="13">
        <f>F1970/2192.7/12*1000</f>
        <v>3.129703105760023</v>
      </c>
    </row>
    <row r="1971" spans="2:7" ht="12.75">
      <c r="B1971" s="2"/>
      <c r="C1971" s="10" t="s">
        <v>28</v>
      </c>
      <c r="D1971" s="12">
        <f>D1960+D1961+D1965+D1969+D1970</f>
        <v>480.188736</v>
      </c>
      <c r="E1971" s="12">
        <f>E1960+E1961+E1965+E1969+E1970</f>
        <v>18.24952250649884</v>
      </c>
      <c r="F1971" s="12">
        <f>F1960+F1961+F1965+F1969+F1970</f>
        <v>563.29</v>
      </c>
      <c r="G1971" s="13">
        <f>G1960+G1961+G1965+G1969+G1970</f>
        <v>21.407777321719042</v>
      </c>
    </row>
    <row r="1972" spans="2:7" ht="12.75">
      <c r="B1972" s="2">
        <v>4</v>
      </c>
      <c r="C1972" s="10" t="s">
        <v>29</v>
      </c>
      <c r="D1972" s="13">
        <v>48</v>
      </c>
      <c r="E1972" s="12">
        <v>1.8</v>
      </c>
      <c r="F1972" s="12"/>
      <c r="G1972" s="12"/>
    </row>
    <row r="1973" spans="2:7" ht="12.75">
      <c r="B1973" s="5">
        <v>5</v>
      </c>
      <c r="C1973" s="10" t="s">
        <v>13</v>
      </c>
      <c r="D1973" s="13">
        <f>D1971+D1972</f>
        <v>528.1887360000001</v>
      </c>
      <c r="E1973" s="13">
        <f>E1971+E1972</f>
        <v>20.04952250649884</v>
      </c>
      <c r="F1973" s="13">
        <f>F1971-F1957/1000</f>
        <v>43.041189999999915</v>
      </c>
      <c r="G1973" s="13"/>
    </row>
    <row r="1974" spans="2:7" ht="12.75">
      <c r="B1974" s="5"/>
      <c r="C1974" s="10"/>
      <c r="D1974" s="13"/>
      <c r="E1974" s="13"/>
      <c r="F1974" s="13"/>
      <c r="G1974" s="13"/>
    </row>
    <row r="1975" spans="2:7" ht="12.75">
      <c r="B1975" s="11" t="s">
        <v>30</v>
      </c>
      <c r="C1975" s="11"/>
      <c r="D1975" s="33" t="s">
        <v>6</v>
      </c>
      <c r="E1975" s="25"/>
      <c r="F1975" s="25"/>
      <c r="G1975" s="13"/>
    </row>
    <row r="1976" spans="2:7" ht="12.75">
      <c r="B1976" s="25"/>
      <c r="C1976" s="34" t="s">
        <v>31</v>
      </c>
      <c r="D1976" s="35">
        <v>28549.18</v>
      </c>
      <c r="E1976" s="25"/>
      <c r="F1976" s="25"/>
      <c r="G1976" s="13"/>
    </row>
    <row r="1977" spans="2:7" ht="12.75">
      <c r="B1977" s="5"/>
      <c r="C1977" s="23" t="s">
        <v>32</v>
      </c>
      <c r="D1977" s="35">
        <v>25793.23</v>
      </c>
      <c r="E1977" s="25"/>
      <c r="F1977" s="25"/>
      <c r="G1977" s="13"/>
    </row>
    <row r="1978" spans="2:7" ht="12.75">
      <c r="B1978" s="5"/>
      <c r="C1978" s="36" t="s">
        <v>13</v>
      </c>
      <c r="D1978" s="33">
        <f>D1977-D1976</f>
        <v>-2755.9500000000007</v>
      </c>
      <c r="E1978" s="25"/>
      <c r="F1978" s="25"/>
      <c r="G1978" s="13"/>
    </row>
    <row r="1979" spans="2:7" ht="12.75">
      <c r="B1979" s="5"/>
      <c r="C1979" s="34" t="s">
        <v>33</v>
      </c>
      <c r="D1979" s="35">
        <v>34250.03</v>
      </c>
      <c r="E1979" s="25"/>
      <c r="F1979" s="25"/>
      <c r="G1979" s="13"/>
    </row>
    <row r="1980" spans="2:7" ht="12.75">
      <c r="B1980" s="5"/>
      <c r="C1980" s="23" t="s">
        <v>34</v>
      </c>
      <c r="D1980" s="35">
        <v>30343.37</v>
      </c>
      <c r="E1980" s="25"/>
      <c r="F1980" s="25"/>
      <c r="G1980" s="13"/>
    </row>
    <row r="1981" spans="2:7" ht="12.75">
      <c r="B1981" s="5"/>
      <c r="C1981" s="36" t="s">
        <v>13</v>
      </c>
      <c r="D1981" s="33">
        <f>D1980-D1979</f>
        <v>-3906.66</v>
      </c>
      <c r="E1981" s="25"/>
      <c r="F1981" s="25"/>
      <c r="G1981" s="13"/>
    </row>
    <row r="1982" spans="2:7" ht="12.75">
      <c r="B1982" s="5"/>
      <c r="C1982" s="34" t="s">
        <v>76</v>
      </c>
      <c r="D1982" s="35">
        <v>13112.65</v>
      </c>
      <c r="E1982" s="25"/>
      <c r="F1982" s="25"/>
      <c r="G1982" s="13"/>
    </row>
    <row r="1983" spans="2:7" ht="12.75">
      <c r="B1983" s="5"/>
      <c r="C1983" s="23" t="s">
        <v>77</v>
      </c>
      <c r="D1983" s="35">
        <v>11410.56</v>
      </c>
      <c r="E1983" s="25"/>
      <c r="F1983" s="25"/>
      <c r="G1983" s="13"/>
    </row>
    <row r="1984" spans="2:7" ht="12.75">
      <c r="B1984" s="5"/>
      <c r="C1984" s="36" t="s">
        <v>13</v>
      </c>
      <c r="D1984" s="33">
        <f>D1983-D1982</f>
        <v>-1702.0900000000001</v>
      </c>
      <c r="E1984" s="25"/>
      <c r="F1984" s="25"/>
      <c r="G1984" s="13"/>
    </row>
    <row r="1985" spans="2:7" ht="12.75">
      <c r="B1985" s="5"/>
      <c r="C1985" s="34" t="s">
        <v>42</v>
      </c>
      <c r="D1985" s="35">
        <v>7827.94</v>
      </c>
      <c r="E1985" s="25"/>
      <c r="F1985" s="25"/>
      <c r="G1985" s="13"/>
    </row>
    <row r="1986" spans="2:7" ht="12.75">
      <c r="B1986" s="5"/>
      <c r="C1986" s="23" t="s">
        <v>43</v>
      </c>
      <c r="D1986" s="35">
        <v>6517.18</v>
      </c>
      <c r="E1986" s="25"/>
      <c r="F1986" s="25"/>
      <c r="G1986" s="13"/>
    </row>
    <row r="1987" spans="2:7" ht="12.75">
      <c r="B1987" s="5"/>
      <c r="C1987" s="36" t="s">
        <v>13</v>
      </c>
      <c r="D1987" s="33">
        <f>D1986-D1985</f>
        <v>-1310.7599999999993</v>
      </c>
      <c r="E1987" s="25"/>
      <c r="F1987" s="25"/>
      <c r="G1987" s="13"/>
    </row>
    <row r="1988" spans="2:7" ht="12.75">
      <c r="B1988" s="11"/>
      <c r="C1988" s="36" t="s">
        <v>35</v>
      </c>
      <c r="D1988" s="50">
        <f>D1978+D1981+D1984+D1987</f>
        <v>-9675.46</v>
      </c>
      <c r="E1988" s="25"/>
      <c r="F1988" s="25"/>
      <c r="G1988" s="13"/>
    </row>
    <row r="1989" spans="2:7" ht="12.75">
      <c r="B1989" s="11"/>
      <c r="C1989" s="11"/>
      <c r="D1989" s="27"/>
      <c r="E1989" s="25"/>
      <c r="F1989" s="25"/>
      <c r="G1989" s="13"/>
    </row>
    <row r="1990" spans="2:7" ht="12.75">
      <c r="B1990" s="11"/>
      <c r="C1990" s="14" t="s">
        <v>44</v>
      </c>
      <c r="D1990" s="27" t="s">
        <v>37</v>
      </c>
      <c r="E1990" s="25"/>
      <c r="F1990" s="46">
        <v>52.72</v>
      </c>
      <c r="G1990" s="13"/>
    </row>
    <row r="1991" spans="2:7" ht="12.75">
      <c r="B1991" s="5"/>
      <c r="C1991" s="14" t="s">
        <v>127</v>
      </c>
      <c r="D1991" s="13"/>
      <c r="E1991" s="13"/>
      <c r="F1991" s="37">
        <v>359.2</v>
      </c>
      <c r="G1991" s="13"/>
    </row>
    <row r="1992" spans="2:7" ht="12.75">
      <c r="B1992" s="23" t="s">
        <v>39</v>
      </c>
      <c r="C1992" s="23"/>
      <c r="D1992" s="23"/>
      <c r="E1992" s="23"/>
      <c r="F1992" s="23"/>
      <c r="G1992" s="23"/>
    </row>
    <row r="1993" spans="2:4" ht="12.75">
      <c r="B1993" s="53"/>
      <c r="C1993" s="53"/>
      <c r="D1993" s="49"/>
    </row>
    <row r="1994" spans="2:4" ht="12.75">
      <c r="B1994" s="29"/>
      <c r="C1994" s="39"/>
      <c r="D1994" s="29"/>
    </row>
    <row r="1995" spans="2:7" ht="12.75">
      <c r="B1995" s="1" t="s">
        <v>0</v>
      </c>
      <c r="C1995" s="1"/>
      <c r="D1995" s="1"/>
      <c r="E1995" s="1"/>
      <c r="F1995" s="1"/>
      <c r="G1995" s="1"/>
    </row>
    <row r="1996" spans="2:7" ht="12.75">
      <c r="B1996" s="1" t="s">
        <v>1</v>
      </c>
      <c r="C1996" s="1"/>
      <c r="D1996" s="1"/>
      <c r="E1996" s="1"/>
      <c r="F1996" s="1"/>
      <c r="G1996" s="1"/>
    </row>
    <row r="1997" spans="2:7" ht="12.75">
      <c r="B1997" s="1" t="s">
        <v>135</v>
      </c>
      <c r="C1997" s="1"/>
      <c r="D1997" s="1"/>
      <c r="E1997" s="1"/>
      <c r="F1997" s="1"/>
      <c r="G1997" s="1"/>
    </row>
    <row r="1998" spans="2:7" ht="12.75" customHeight="1">
      <c r="B1998" s="2"/>
      <c r="C1998" s="2" t="s">
        <v>3</v>
      </c>
      <c r="D1998" s="3" t="s">
        <v>41</v>
      </c>
      <c r="E1998" s="3"/>
      <c r="F1998" s="4" t="s">
        <v>5</v>
      </c>
      <c r="G1998" s="4"/>
    </row>
    <row r="1999" spans="2:7" ht="12.75">
      <c r="B1999" s="2"/>
      <c r="C1999" s="2"/>
      <c r="D1999" s="3" t="s">
        <v>6</v>
      </c>
      <c r="E1999" s="3" t="s">
        <v>7</v>
      </c>
      <c r="F1999" s="3" t="s">
        <v>6</v>
      </c>
      <c r="G1999" s="3" t="s">
        <v>8</v>
      </c>
    </row>
    <row r="2000" spans="2:7" ht="12.75">
      <c r="B2000" s="5">
        <v>1</v>
      </c>
      <c r="C2000" s="6" t="s">
        <v>9</v>
      </c>
      <c r="D2000" s="13">
        <v>2020.65</v>
      </c>
      <c r="E2000" s="13"/>
      <c r="F2000" s="13">
        <v>2020.65</v>
      </c>
      <c r="G2000" s="13"/>
    </row>
    <row r="2001" spans="2:7" ht="12.75">
      <c r="B2001" s="5">
        <v>2</v>
      </c>
      <c r="C2001" s="7" t="s">
        <v>10</v>
      </c>
      <c r="D2001" s="8"/>
      <c r="E2001" s="8"/>
      <c r="F2001" s="8" t="s">
        <v>3</v>
      </c>
      <c r="G2001" s="8"/>
    </row>
    <row r="2002" spans="2:7" ht="12.75">
      <c r="B2002" s="5"/>
      <c r="C2002" s="20" t="s">
        <v>11</v>
      </c>
      <c r="D2002" s="9"/>
      <c r="E2002" s="9"/>
      <c r="F2002" s="9">
        <v>534660.08</v>
      </c>
      <c r="G2002" s="9"/>
    </row>
    <row r="2003" spans="2:7" ht="12.75">
      <c r="B2003" s="5"/>
      <c r="C2003" s="34" t="s">
        <v>12</v>
      </c>
      <c r="D2003" s="9"/>
      <c r="E2003" s="9"/>
      <c r="F2003" s="9">
        <v>523893.6</v>
      </c>
      <c r="G2003" s="9"/>
    </row>
    <row r="2004" spans="2:7" ht="12.75">
      <c r="B2004" s="5"/>
      <c r="C2004" s="2" t="s">
        <v>13</v>
      </c>
      <c r="D2004" s="9"/>
      <c r="E2004" s="9"/>
      <c r="F2004" s="9">
        <f>F2003-F2002</f>
        <v>-10766.479999999981</v>
      </c>
      <c r="G2004" s="9"/>
    </row>
    <row r="2005" spans="2:7" ht="12.75">
      <c r="B2005" s="5">
        <v>3</v>
      </c>
      <c r="C2005" s="10" t="s">
        <v>14</v>
      </c>
      <c r="D2005" s="1" t="s">
        <v>15</v>
      </c>
      <c r="E2005" s="1"/>
      <c r="F2005" s="1" t="s">
        <v>15</v>
      </c>
      <c r="G2005" s="1"/>
    </row>
    <row r="2006" spans="2:7" ht="12.75">
      <c r="B2006" s="11" t="s">
        <v>16</v>
      </c>
      <c r="C2006" s="11"/>
      <c r="D2006" s="13">
        <f>E2006*D2000*12/1000</f>
        <v>65.711538</v>
      </c>
      <c r="E2006" s="13">
        <v>2.71</v>
      </c>
      <c r="F2006" s="13">
        <v>72.2</v>
      </c>
      <c r="G2006" s="13">
        <f>F2006/2020.65/12*1000</f>
        <v>2.9775897194797056</v>
      </c>
    </row>
    <row r="2007" spans="2:7" ht="12.75" customHeight="1">
      <c r="B2007" s="14" t="s">
        <v>17</v>
      </c>
      <c r="C2007" s="14"/>
      <c r="D2007" s="1">
        <f>D2008+D2009+D2010</f>
        <v>136.1</v>
      </c>
      <c r="E2007" s="13">
        <f>D2007/2020.65/12*1000</f>
        <v>5.612880343783766</v>
      </c>
      <c r="F2007" s="12">
        <f>F2008+F2009+F2010</f>
        <v>153.1</v>
      </c>
      <c r="G2007" s="13">
        <f>F2007/2020.65/12*1000</f>
        <v>6.313974876071231</v>
      </c>
    </row>
    <row r="2008" spans="2:7" ht="12.75">
      <c r="B2008" s="2"/>
      <c r="C2008" s="15" t="s">
        <v>18</v>
      </c>
      <c r="D2008" s="9">
        <v>105.6</v>
      </c>
      <c r="E2008" s="13">
        <v>4.2</v>
      </c>
      <c r="F2008" s="9">
        <f>38.8+2.58+64.92</f>
        <v>106.3</v>
      </c>
      <c r="G2008" s="13">
        <f>F2008/2020.65/12*1000</f>
        <v>4.38390286953868</v>
      </c>
    </row>
    <row r="2009" spans="2:7" ht="12.75">
      <c r="B2009" s="2"/>
      <c r="C2009" s="15" t="s">
        <v>19</v>
      </c>
      <c r="D2009" s="18">
        <v>30.5</v>
      </c>
      <c r="E2009" s="13">
        <v>1.4</v>
      </c>
      <c r="F2009" s="45">
        <v>42.6</v>
      </c>
      <c r="G2009" s="13">
        <f>F2009/2020.65/12*1000</f>
        <v>1.7568604162027068</v>
      </c>
    </row>
    <row r="2010" spans="2:7" ht="12.75">
      <c r="B2010" s="32" t="s">
        <v>20</v>
      </c>
      <c r="C2010" s="32"/>
      <c r="D2010" s="18">
        <v>0</v>
      </c>
      <c r="E2010" s="13">
        <f>D2010/2021.5/12*1000</f>
        <v>0</v>
      </c>
      <c r="F2010" s="18">
        <v>4.2</v>
      </c>
      <c r="G2010" s="13">
        <f>F2010/2020.65/12*1000</f>
        <v>0.17321159032984437</v>
      </c>
    </row>
    <row r="2011" spans="2:7" ht="12.75" customHeight="1">
      <c r="B2011" s="19" t="s">
        <v>21</v>
      </c>
      <c r="C2011" s="19"/>
      <c r="D2011" s="13">
        <f>D2012+D2014+D2013</f>
        <v>151.54875</v>
      </c>
      <c r="E2011" s="13">
        <f>D2011/2020.65/12*1000</f>
        <v>6.249999999999999</v>
      </c>
      <c r="F2011" s="13">
        <f>F2012+F2014+F2013</f>
        <v>154.05999999999997</v>
      </c>
      <c r="G2011" s="13">
        <f>F2011/2020.65/12*1000</f>
        <v>6.353566096718052</v>
      </c>
    </row>
    <row r="2012" spans="2:7" ht="12.75">
      <c r="B2012" s="2"/>
      <c r="C2012" s="15" t="s">
        <v>22</v>
      </c>
      <c r="D2012" s="9">
        <f>E2012*D2000*12/1000</f>
        <v>127.05847200000001</v>
      </c>
      <c r="E2012" s="13">
        <v>5.24</v>
      </c>
      <c r="F2012" s="8">
        <f>90.6+27.64+4+12.22+2.8+6.28+0.2+0.2+1.42+1.64</f>
        <v>146.99999999999997</v>
      </c>
      <c r="G2012" s="13">
        <f>F2012/2020.65/12*1000</f>
        <v>6.062405661544551</v>
      </c>
    </row>
    <row r="2013" spans="2:7" ht="12.75">
      <c r="B2013" s="2"/>
      <c r="C2013" s="15" t="s">
        <v>23</v>
      </c>
      <c r="D2013" s="9">
        <f>E2013*D2000*12/1000</f>
        <v>22.550454000000006</v>
      </c>
      <c r="E2013" s="13">
        <v>0.93</v>
      </c>
      <c r="F2013" s="9">
        <v>6.06</v>
      </c>
      <c r="G2013" s="13">
        <f>F2013/2020.65/12*1000</f>
        <v>0.2499195803330611</v>
      </c>
    </row>
    <row r="2014" spans="2:7" ht="12.75">
      <c r="B2014" s="2"/>
      <c r="C2014" s="20" t="s">
        <v>24</v>
      </c>
      <c r="D2014" s="9">
        <f>E2014*D2000*12/1000</f>
        <v>1.939824</v>
      </c>
      <c r="E2014" s="13">
        <v>0.08</v>
      </c>
      <c r="F2014" s="9">
        <v>1</v>
      </c>
      <c r="G2014" s="13">
        <f>F2014/2020.65/12*1000</f>
        <v>0.04124085484043913</v>
      </c>
    </row>
    <row r="2015" spans="2:7" ht="12.75">
      <c r="B2015" s="11" t="s">
        <v>25</v>
      </c>
      <c r="C2015" s="11"/>
      <c r="D2015" s="13">
        <f>E2015*D2000*12/1000</f>
        <v>14.306202</v>
      </c>
      <c r="E2015" s="13">
        <v>0.59</v>
      </c>
      <c r="F2015" s="13">
        <v>15.64</v>
      </c>
      <c r="G2015" s="13">
        <f>F2015/2020.65/12*1000</f>
        <v>0.645006969704468</v>
      </c>
    </row>
    <row r="2016" spans="2:7" ht="12.75">
      <c r="B2016" s="21" t="s">
        <v>26</v>
      </c>
      <c r="C2016" s="21"/>
      <c r="D2016" s="13">
        <f>E2016*D2000*12/1000</f>
        <v>74.925702</v>
      </c>
      <c r="E2016" s="13">
        <v>3.09</v>
      </c>
      <c r="F2016" s="1">
        <f>13.6+62.3</f>
        <v>75.89999999999999</v>
      </c>
      <c r="G2016" s="13">
        <f>F2016/2020.65/12*1000</f>
        <v>3.13018088238933</v>
      </c>
    </row>
    <row r="2017" spans="2:7" ht="12.75">
      <c r="B2017" s="2"/>
      <c r="C2017" s="10" t="s">
        <v>28</v>
      </c>
      <c r="D2017" s="12">
        <f>D2006+D2007+D2011+D2015+D2016</f>
        <v>442.59219199999995</v>
      </c>
      <c r="E2017" s="12">
        <f>E2006+E2007+E2011+E2015+E2016</f>
        <v>18.252880343783765</v>
      </c>
      <c r="F2017" s="12">
        <f>F2006+F2007+F2011+F2015+F2016</f>
        <v>470.9</v>
      </c>
      <c r="G2017" s="13">
        <f>G2006+G2007+G2011+G2015+G2016</f>
        <v>19.420318544362786</v>
      </c>
    </row>
    <row r="2018" spans="2:7" ht="12.75">
      <c r="B2018" s="2">
        <v>4</v>
      </c>
      <c r="C2018" s="10" t="s">
        <v>29</v>
      </c>
      <c r="D2018" s="13">
        <v>44.26</v>
      </c>
      <c r="E2018" s="12">
        <v>1.8</v>
      </c>
      <c r="F2018" s="12"/>
      <c r="G2018" s="12"/>
    </row>
    <row r="2019" spans="2:7" ht="12.75">
      <c r="B2019" s="5">
        <v>5</v>
      </c>
      <c r="C2019" s="10" t="s">
        <v>13</v>
      </c>
      <c r="D2019" s="13">
        <f>D2017+D2018</f>
        <v>486.85219199999995</v>
      </c>
      <c r="E2019" s="13">
        <f>E2017+E2018</f>
        <v>20.052880343783766</v>
      </c>
      <c r="F2019" s="13">
        <f>F2017-F2003/1000</f>
        <v>-52.993600000000015</v>
      </c>
      <c r="G2019" s="13"/>
    </row>
    <row r="2020" spans="2:7" ht="12.75">
      <c r="B2020" s="5"/>
      <c r="C2020" s="10"/>
      <c r="D2020" s="13"/>
      <c r="E2020" s="13"/>
      <c r="F2020" s="13"/>
      <c r="G2020" s="13"/>
    </row>
    <row r="2021" spans="2:7" ht="12.75">
      <c r="B2021" s="11" t="s">
        <v>30</v>
      </c>
      <c r="C2021" s="11"/>
      <c r="D2021" s="33" t="s">
        <v>6</v>
      </c>
      <c r="E2021" s="25"/>
      <c r="F2021" s="25"/>
      <c r="G2021" s="13"/>
    </row>
    <row r="2022" spans="2:7" ht="12.75">
      <c r="B2022" s="25"/>
      <c r="C2022" s="34" t="s">
        <v>31</v>
      </c>
      <c r="D2022" s="35">
        <v>16426.38</v>
      </c>
      <c r="E2022" s="25"/>
      <c r="F2022" s="25"/>
      <c r="G2022" s="13"/>
    </row>
    <row r="2023" spans="2:7" ht="12.75">
      <c r="B2023" s="5"/>
      <c r="C2023" s="23" t="s">
        <v>32</v>
      </c>
      <c r="D2023" s="35">
        <v>15493.28</v>
      </c>
      <c r="E2023" s="25"/>
      <c r="F2023" s="25"/>
      <c r="G2023" s="13"/>
    </row>
    <row r="2024" spans="2:7" ht="12.75">
      <c r="B2024" s="5"/>
      <c r="C2024" s="36" t="s">
        <v>13</v>
      </c>
      <c r="D2024" s="33">
        <f>D2023-D2022</f>
        <v>-933.1000000000004</v>
      </c>
      <c r="E2024" s="25"/>
      <c r="F2024" s="25"/>
      <c r="G2024" s="13"/>
    </row>
    <row r="2025" spans="2:7" ht="12.75">
      <c r="B2025" s="5"/>
      <c r="C2025" s="34" t="s">
        <v>33</v>
      </c>
      <c r="D2025" s="35">
        <v>18163.9</v>
      </c>
      <c r="E2025" s="25"/>
      <c r="F2025" s="25"/>
      <c r="G2025" s="13"/>
    </row>
    <row r="2026" spans="2:7" ht="12.75">
      <c r="B2026" s="5"/>
      <c r="C2026" s="23" t="s">
        <v>34</v>
      </c>
      <c r="D2026" s="35">
        <v>17753.49</v>
      </c>
      <c r="E2026" s="25"/>
      <c r="F2026" s="25"/>
      <c r="G2026" s="13"/>
    </row>
    <row r="2027" spans="2:7" ht="12.75">
      <c r="B2027" s="5"/>
      <c r="C2027" s="36" t="s">
        <v>13</v>
      </c>
      <c r="D2027" s="33">
        <f>D2026-D2025</f>
        <v>-410.40999999999985</v>
      </c>
      <c r="E2027" s="25"/>
      <c r="F2027" s="25"/>
      <c r="G2027" s="13"/>
    </row>
    <row r="2028" spans="2:7" ht="12.75">
      <c r="B2028" s="5"/>
      <c r="C2028" s="34" t="s">
        <v>42</v>
      </c>
      <c r="D2028" s="35">
        <v>13073.03</v>
      </c>
      <c r="E2028" s="25"/>
      <c r="F2028" s="25"/>
      <c r="G2028" s="13"/>
    </row>
    <row r="2029" spans="2:7" ht="12.75">
      <c r="B2029" s="5"/>
      <c r="C2029" s="23" t="s">
        <v>43</v>
      </c>
      <c r="D2029" s="35">
        <v>9131.97</v>
      </c>
      <c r="E2029" s="25"/>
      <c r="F2029" s="25"/>
      <c r="G2029" s="13"/>
    </row>
    <row r="2030" spans="2:7" ht="12.75">
      <c r="B2030" s="5"/>
      <c r="C2030" s="36" t="s">
        <v>13</v>
      </c>
      <c r="D2030" s="33">
        <f>D2029-D2028</f>
        <v>-3941.0600000000013</v>
      </c>
      <c r="E2030" s="25"/>
      <c r="F2030" s="25"/>
      <c r="G2030" s="13"/>
    </row>
    <row r="2031" spans="2:7" ht="12.75">
      <c r="B2031" s="11"/>
      <c r="C2031" s="36" t="s">
        <v>35</v>
      </c>
      <c r="D2031" s="50">
        <f>D2024+D2027+D2030</f>
        <v>-5284.5700000000015</v>
      </c>
      <c r="E2031" s="25"/>
      <c r="F2031" s="25"/>
      <c r="G2031" s="13"/>
    </row>
    <row r="2032" spans="2:7" ht="12.75">
      <c r="B2032" s="11"/>
      <c r="C2032" s="11"/>
      <c r="D2032" s="27"/>
      <c r="E2032" s="25"/>
      <c r="F2032" s="25"/>
      <c r="G2032" s="13"/>
    </row>
    <row r="2033" spans="2:7" ht="12.75">
      <c r="B2033" s="11"/>
      <c r="C2033" s="14" t="s">
        <v>44</v>
      </c>
      <c r="D2033" s="27" t="s">
        <v>37</v>
      </c>
      <c r="E2033" s="25"/>
      <c r="F2033" s="47">
        <v>-47.7</v>
      </c>
      <c r="G2033" s="13"/>
    </row>
    <row r="2034" spans="2:7" ht="12.75">
      <c r="B2034" s="5"/>
      <c r="C2034" s="14" t="s">
        <v>127</v>
      </c>
      <c r="D2034" s="13"/>
      <c r="E2034" s="13"/>
      <c r="F2034" s="37">
        <v>315.4</v>
      </c>
      <c r="G2034" s="13"/>
    </row>
    <row r="2035" spans="2:7" ht="12.75">
      <c r="B2035" s="23" t="s">
        <v>39</v>
      </c>
      <c r="C2035" s="23"/>
      <c r="D2035" s="23"/>
      <c r="E2035" s="23"/>
      <c r="F2035" s="23"/>
      <c r="G2035" s="23"/>
    </row>
    <row r="2037" spans="2:7" ht="12.75">
      <c r="B2037" s="1" t="s">
        <v>0</v>
      </c>
      <c r="C2037" s="1"/>
      <c r="D2037" s="1"/>
      <c r="E2037" s="1"/>
      <c r="F2037" s="1"/>
      <c r="G2037" s="1"/>
    </row>
    <row r="2038" spans="2:7" ht="12.75">
      <c r="B2038" s="1" t="s">
        <v>51</v>
      </c>
      <c r="C2038" s="1"/>
      <c r="D2038" s="1"/>
      <c r="E2038" s="1"/>
      <c r="F2038" s="1"/>
      <c r="G2038" s="1"/>
    </row>
    <row r="2039" spans="2:7" ht="12.75">
      <c r="B2039" s="1" t="s">
        <v>136</v>
      </c>
      <c r="C2039" s="1"/>
      <c r="D2039" s="1"/>
      <c r="E2039" s="1"/>
      <c r="F2039" s="1"/>
      <c r="G2039" s="1"/>
    </row>
    <row r="2040" spans="2:7" ht="12.75" customHeight="1">
      <c r="B2040" s="2"/>
      <c r="C2040" s="2" t="s">
        <v>3</v>
      </c>
      <c r="D2040" s="3" t="s">
        <v>41</v>
      </c>
      <c r="E2040" s="3"/>
      <c r="F2040" s="4" t="s">
        <v>109</v>
      </c>
      <c r="G2040" s="4"/>
    </row>
    <row r="2041" spans="2:7" ht="12.75">
      <c r="B2041" s="2"/>
      <c r="C2041" s="2"/>
      <c r="D2041" s="3" t="s">
        <v>6</v>
      </c>
      <c r="E2041" s="3" t="s">
        <v>7</v>
      </c>
      <c r="F2041" s="3" t="s">
        <v>6</v>
      </c>
      <c r="G2041" s="3" t="s">
        <v>8</v>
      </c>
    </row>
    <row r="2042" spans="2:7" ht="12.75">
      <c r="B2042" s="5">
        <v>1</v>
      </c>
      <c r="C2042" s="6" t="s">
        <v>9</v>
      </c>
      <c r="D2042" s="13">
        <v>2018.6</v>
      </c>
      <c r="E2042" s="13"/>
      <c r="F2042" s="13">
        <v>2018.6</v>
      </c>
      <c r="G2042" s="13"/>
    </row>
    <row r="2043" spans="2:7" ht="12.75">
      <c r="B2043" s="5">
        <v>2</v>
      </c>
      <c r="C2043" s="7" t="s">
        <v>10</v>
      </c>
      <c r="D2043" s="8"/>
      <c r="E2043" s="8"/>
      <c r="F2043" s="8" t="s">
        <v>3</v>
      </c>
      <c r="G2043" s="8"/>
    </row>
    <row r="2044" spans="2:7" ht="12.75">
      <c r="B2044" s="5"/>
      <c r="C2044" s="20" t="s">
        <v>11</v>
      </c>
      <c r="D2044" s="9"/>
      <c r="E2044" s="9"/>
      <c r="F2044" s="9">
        <v>528248.7</v>
      </c>
      <c r="G2044" s="9"/>
    </row>
    <row r="2045" spans="2:7" ht="12.75">
      <c r="B2045" s="5"/>
      <c r="C2045" s="34" t="s">
        <v>12</v>
      </c>
      <c r="D2045" s="9"/>
      <c r="E2045" s="9"/>
      <c r="F2045" s="9">
        <v>483331.45</v>
      </c>
      <c r="G2045" s="9"/>
    </row>
    <row r="2046" spans="2:7" ht="12.75">
      <c r="B2046" s="5"/>
      <c r="C2046" s="2" t="s">
        <v>13</v>
      </c>
      <c r="D2046" s="9"/>
      <c r="E2046" s="9"/>
      <c r="F2046" s="9">
        <f>F2045-F2044</f>
        <v>-44917.24999999994</v>
      </c>
      <c r="G2046" s="9"/>
    </row>
    <row r="2047" spans="2:7" ht="12.75">
      <c r="B2047" s="5">
        <v>3</v>
      </c>
      <c r="C2047" s="10" t="s">
        <v>14</v>
      </c>
      <c r="D2047" s="1" t="s">
        <v>15</v>
      </c>
      <c r="E2047" s="1"/>
      <c r="F2047" s="1" t="s">
        <v>15</v>
      </c>
      <c r="G2047" s="1"/>
    </row>
    <row r="2048" spans="2:7" ht="12.75">
      <c r="B2048" s="11" t="s">
        <v>16</v>
      </c>
      <c r="C2048" s="11"/>
      <c r="D2048" s="13">
        <f>E2048*D2042*12/1000</f>
        <v>65.644872</v>
      </c>
      <c r="E2048" s="13">
        <v>2.71</v>
      </c>
      <c r="F2048" s="13">
        <v>71.31</v>
      </c>
      <c r="G2048" s="13">
        <f>F2048/2018.6/12*1000</f>
        <v>2.9438719904884576</v>
      </c>
    </row>
    <row r="2049" spans="2:7" ht="12.75" customHeight="1">
      <c r="B2049" s="14" t="s">
        <v>17</v>
      </c>
      <c r="C2049" s="14"/>
      <c r="D2049" s="1">
        <f>D2050+D2051+D2052</f>
        <v>135.96</v>
      </c>
      <c r="E2049" s="13">
        <f>D2049/2018.6/12*1000</f>
        <v>5.6128009511542665</v>
      </c>
      <c r="F2049" s="12">
        <f>F2050+F2051+F2052</f>
        <v>140.69000000000003</v>
      </c>
      <c r="G2049" s="13">
        <f>F2049/2018.6/12*1000</f>
        <v>5.808068298160443</v>
      </c>
    </row>
    <row r="2050" spans="2:7" ht="12.75">
      <c r="B2050" s="2"/>
      <c r="C2050" s="15" t="s">
        <v>18</v>
      </c>
      <c r="D2050" s="9">
        <v>105.44</v>
      </c>
      <c r="E2050" s="13">
        <f>D2050/2018.6/12*1000</f>
        <v>4.3528518114865085</v>
      </c>
      <c r="F2050" s="9">
        <f>38.75+3.03+64.84</f>
        <v>106.62</v>
      </c>
      <c r="G2050" s="13">
        <f>F2050/2018.6/12*1000</f>
        <v>4.401565441395027</v>
      </c>
    </row>
    <row r="2051" spans="2:7" ht="12.75">
      <c r="B2051" s="2"/>
      <c r="C2051" s="15" t="s">
        <v>19</v>
      </c>
      <c r="D2051" s="18">
        <v>30.52</v>
      </c>
      <c r="E2051" s="13">
        <f>D2051/2018.6/12*1000</f>
        <v>1.2599491396677565</v>
      </c>
      <c r="F2051" s="45">
        <v>31.27</v>
      </c>
      <c r="G2051" s="13">
        <f>F2051/2018.6/12*1000</f>
        <v>1.2909111925757126</v>
      </c>
    </row>
    <row r="2052" spans="2:7" ht="12.75">
      <c r="B2052" s="32" t="s">
        <v>20</v>
      </c>
      <c r="C2052" s="32"/>
      <c r="D2052" s="18">
        <v>0</v>
      </c>
      <c r="E2052" s="13">
        <f>D2052/2018.6/12*1000</f>
        <v>0</v>
      </c>
      <c r="F2052" s="18">
        <v>2.8</v>
      </c>
      <c r="G2052" s="13">
        <f>F2052/2018.6/12*1000</f>
        <v>0.11559166418970243</v>
      </c>
    </row>
    <row r="2053" spans="2:7" ht="12.75" customHeight="1">
      <c r="B2053" s="19" t="s">
        <v>21</v>
      </c>
      <c r="C2053" s="19"/>
      <c r="D2053" s="13">
        <f>D2054+D2056+D2055</f>
        <v>151.395</v>
      </c>
      <c r="E2053" s="13">
        <f>D2053/2018.6/12*1000</f>
        <v>6.250000000000001</v>
      </c>
      <c r="F2053" s="13">
        <f>F2054+F2056+F2055</f>
        <v>158.62999999999994</v>
      </c>
      <c r="G2053" s="13">
        <f>F2053/2018.6/12*1000</f>
        <v>6.548680603718746</v>
      </c>
    </row>
    <row r="2054" spans="2:7" ht="12.75">
      <c r="B2054" s="2"/>
      <c r="C2054" s="15" t="s">
        <v>22</v>
      </c>
      <c r="D2054" s="9">
        <f>E2054*D2042*12/1000</f>
        <v>126.929568</v>
      </c>
      <c r="E2054" s="13">
        <v>5.24</v>
      </c>
      <c r="F2054" s="8">
        <f>90.5+27.6+3.96+12.2+1.64+7.57+0.2+6.34+0.2+1.41</f>
        <v>151.61999999999995</v>
      </c>
      <c r="G2054" s="13">
        <f>F2054/2018.6/12*1000</f>
        <v>6.259288615872385</v>
      </c>
    </row>
    <row r="2055" spans="2:7" ht="12.75">
      <c r="B2055" s="2"/>
      <c r="C2055" s="15" t="s">
        <v>23</v>
      </c>
      <c r="D2055" s="9">
        <f>E2055*D2042*12/1000</f>
        <v>22.527576</v>
      </c>
      <c r="E2055" s="13">
        <v>0.93</v>
      </c>
      <c r="F2055" s="9">
        <v>6.01</v>
      </c>
      <c r="G2055" s="13">
        <f>F2055/2018.6/12*1000</f>
        <v>0.24810925063575417</v>
      </c>
    </row>
    <row r="2056" spans="2:7" ht="12.75">
      <c r="B2056" s="2"/>
      <c r="C2056" s="20" t="s">
        <v>24</v>
      </c>
      <c r="D2056" s="9">
        <f>E2056*D2042*12/1000</f>
        <v>1.937856</v>
      </c>
      <c r="E2056" s="13">
        <v>0.08</v>
      </c>
      <c r="F2056" s="9">
        <v>1</v>
      </c>
      <c r="G2056" s="13">
        <f>F2056/2018.6/12*1000</f>
        <v>0.04128273721060801</v>
      </c>
    </row>
    <row r="2057" spans="2:7" ht="12.75">
      <c r="B2057" s="11" t="s">
        <v>25</v>
      </c>
      <c r="C2057" s="11"/>
      <c r="D2057" s="9">
        <f>E2057*D2042*12/1000</f>
        <v>14.291687999999999</v>
      </c>
      <c r="E2057" s="13">
        <v>0.59</v>
      </c>
      <c r="F2057" s="13">
        <v>14.43</v>
      </c>
      <c r="G2057" s="13">
        <f>F2057/2018.6/12*1000</f>
        <v>0.5957098979490737</v>
      </c>
    </row>
    <row r="2058" spans="2:7" ht="12.75">
      <c r="B2058" s="21" t="s">
        <v>26</v>
      </c>
      <c r="C2058" s="21"/>
      <c r="D2058" s="9">
        <f>E2058*D2042*12/1000</f>
        <v>74.849688</v>
      </c>
      <c r="E2058" s="13">
        <v>3.09</v>
      </c>
      <c r="F2058" s="1">
        <f>13.56+62.24</f>
        <v>75.8</v>
      </c>
      <c r="G2058" s="13">
        <f>F2058/2018.6/12*1000</f>
        <v>3.129231480564088</v>
      </c>
    </row>
    <row r="2059" spans="2:7" ht="12.75">
      <c r="B2059" s="21"/>
      <c r="C2059" s="22" t="s">
        <v>27</v>
      </c>
      <c r="D2059" s="13">
        <v>0</v>
      </c>
      <c r="E2059" s="13">
        <f>D2059/2018.6/12*1000</f>
        <v>0</v>
      </c>
      <c r="F2059" s="1">
        <v>42.63</v>
      </c>
      <c r="G2059" s="13">
        <f>F2059/2018.6/12*1000</f>
        <v>1.7598830872882196</v>
      </c>
    </row>
    <row r="2060" spans="2:7" ht="12.75">
      <c r="B2060" s="2"/>
      <c r="C2060" s="10" t="s">
        <v>28</v>
      </c>
      <c r="D2060" s="12">
        <f>D2048+D2049+D2053+D2057+D2058</f>
        <v>442.141248</v>
      </c>
      <c r="E2060" s="12">
        <f>E2048+E2049+E2053+E2057+E2058</f>
        <v>18.252800951154267</v>
      </c>
      <c r="F2060" s="12">
        <f>F2048+F2049+F2053+F2057+F2058+F2059</f>
        <v>503.49</v>
      </c>
      <c r="G2060" s="13">
        <f>G2048+G2049+G2053+G2057+G2058+G2059</f>
        <v>20.785445358169028</v>
      </c>
    </row>
    <row r="2061" spans="2:7" ht="12.75">
      <c r="B2061" s="2">
        <v>4</v>
      </c>
      <c r="C2061" s="10" t="s">
        <v>29</v>
      </c>
      <c r="D2061" s="13">
        <v>44.2</v>
      </c>
      <c r="E2061" s="12">
        <v>1.8</v>
      </c>
      <c r="F2061" s="12"/>
      <c r="G2061" s="12"/>
    </row>
    <row r="2062" spans="2:7" ht="12.75">
      <c r="B2062" s="5">
        <v>5</v>
      </c>
      <c r="C2062" s="10" t="s">
        <v>13</v>
      </c>
      <c r="D2062" s="13">
        <f>D2060+D2061</f>
        <v>486.341248</v>
      </c>
      <c r="E2062" s="13">
        <f>E2060+E2061</f>
        <v>20.052800951154268</v>
      </c>
      <c r="F2062" s="13">
        <f>F2060-F2045/1000</f>
        <v>20.15854999999999</v>
      </c>
      <c r="G2062" s="13"/>
    </row>
    <row r="2063" spans="2:7" ht="12.75">
      <c r="B2063" s="5"/>
      <c r="C2063" s="10"/>
      <c r="D2063" s="13"/>
      <c r="E2063" s="13"/>
      <c r="F2063" s="13"/>
      <c r="G2063" s="13"/>
    </row>
    <row r="2064" spans="2:7" ht="12.75">
      <c r="B2064" s="11" t="s">
        <v>30</v>
      </c>
      <c r="C2064" s="11"/>
      <c r="D2064" s="33" t="s">
        <v>6</v>
      </c>
      <c r="E2064" s="25"/>
      <c r="F2064" s="25"/>
      <c r="G2064" s="13"/>
    </row>
    <row r="2065" spans="2:7" ht="12.75">
      <c r="B2065" s="25"/>
      <c r="C2065" s="34" t="s">
        <v>31</v>
      </c>
      <c r="D2065" s="35">
        <v>35360.83</v>
      </c>
      <c r="E2065" s="25"/>
      <c r="F2065" s="25"/>
      <c r="G2065" s="13"/>
    </row>
    <row r="2066" spans="2:7" ht="12.75">
      <c r="B2066" s="5"/>
      <c r="C2066" s="23" t="s">
        <v>32</v>
      </c>
      <c r="D2066" s="35">
        <v>28534.88</v>
      </c>
      <c r="E2066" s="25"/>
      <c r="F2066" s="25"/>
      <c r="G2066" s="13"/>
    </row>
    <row r="2067" spans="2:7" ht="12.75">
      <c r="B2067" s="5"/>
      <c r="C2067" s="36" t="s">
        <v>13</v>
      </c>
      <c r="D2067" s="33">
        <f>D2066-D2065</f>
        <v>-6825.950000000001</v>
      </c>
      <c r="E2067" s="25"/>
      <c r="F2067" s="25"/>
      <c r="G2067" s="13"/>
    </row>
    <row r="2068" spans="2:7" ht="12.75">
      <c r="B2068" s="5"/>
      <c r="C2068" s="34" t="s">
        <v>33</v>
      </c>
      <c r="D2068" s="35">
        <v>39155.2</v>
      </c>
      <c r="E2068" s="25"/>
      <c r="F2068" s="25"/>
      <c r="G2068" s="13"/>
    </row>
    <row r="2069" spans="2:7" ht="12.75">
      <c r="B2069" s="5"/>
      <c r="C2069" s="23" t="s">
        <v>34</v>
      </c>
      <c r="D2069" s="35">
        <v>31386.56</v>
      </c>
      <c r="E2069" s="25"/>
      <c r="F2069" s="25"/>
      <c r="G2069" s="13"/>
    </row>
    <row r="2070" spans="2:7" ht="12.75">
      <c r="B2070" s="5"/>
      <c r="C2070" s="36" t="s">
        <v>13</v>
      </c>
      <c r="D2070" s="33">
        <f>D2069-D2068</f>
        <v>-7768.639999999996</v>
      </c>
      <c r="E2070" s="25"/>
      <c r="F2070" s="25"/>
      <c r="G2070" s="13"/>
    </row>
    <row r="2071" spans="2:7" ht="12.75">
      <c r="B2071" s="5"/>
      <c r="C2071" s="34" t="s">
        <v>42</v>
      </c>
      <c r="D2071" s="35">
        <v>9102.59</v>
      </c>
      <c r="E2071" s="25"/>
      <c r="F2071" s="25"/>
      <c r="G2071" s="13"/>
    </row>
    <row r="2072" spans="2:7" ht="12.75">
      <c r="B2072" s="5"/>
      <c r="C2072" s="23" t="s">
        <v>43</v>
      </c>
      <c r="D2072" s="35">
        <v>7249.96</v>
      </c>
      <c r="E2072" s="25"/>
      <c r="F2072" s="25"/>
      <c r="G2072" s="13"/>
    </row>
    <row r="2073" spans="2:7" ht="12.75">
      <c r="B2073" s="5"/>
      <c r="C2073" s="36" t="s">
        <v>13</v>
      </c>
      <c r="D2073" s="33">
        <f>D2072-D2071</f>
        <v>-1852.63</v>
      </c>
      <c r="E2073" s="25"/>
      <c r="F2073" s="25"/>
      <c r="G2073" s="13"/>
    </row>
    <row r="2074" spans="2:7" ht="12.75">
      <c r="B2074" s="11"/>
      <c r="C2074" s="36" t="s">
        <v>35</v>
      </c>
      <c r="D2074" s="50">
        <f>D2067+D2070+D2073</f>
        <v>-16447.219999999998</v>
      </c>
      <c r="E2074" s="25"/>
      <c r="F2074" s="25"/>
      <c r="G2074" s="13"/>
    </row>
    <row r="2075" spans="2:7" ht="12.75">
      <c r="B2075" s="11"/>
      <c r="C2075" s="11"/>
      <c r="D2075" s="27"/>
      <c r="E2075" s="25"/>
      <c r="F2075" s="25"/>
      <c r="G2075" s="13"/>
    </row>
    <row r="2076" spans="2:7" ht="12.75">
      <c r="B2076" s="11"/>
      <c r="C2076" s="14" t="s">
        <v>44</v>
      </c>
      <c r="D2076" s="27" t="s">
        <v>37</v>
      </c>
      <c r="E2076" s="25"/>
      <c r="F2076" s="46">
        <v>36.61</v>
      </c>
      <c r="G2076" s="13"/>
    </row>
    <row r="2077" spans="2:7" ht="12.75">
      <c r="B2077" s="5"/>
      <c r="C2077" s="14" t="s">
        <v>127</v>
      </c>
      <c r="D2077" s="13"/>
      <c r="E2077" s="13"/>
      <c r="F2077" s="37">
        <v>549.1</v>
      </c>
      <c r="G2077" s="13"/>
    </row>
    <row r="2078" spans="2:7" ht="12.75">
      <c r="B2078" s="23" t="s">
        <v>39</v>
      </c>
      <c r="C2078" s="23"/>
      <c r="D2078" s="23"/>
      <c r="E2078" s="23"/>
      <c r="F2078" s="23"/>
      <c r="G2078" s="23"/>
    </row>
    <row r="2080" spans="2:7" ht="12.75">
      <c r="B2080" s="1" t="s">
        <v>0</v>
      </c>
      <c r="C2080" s="1"/>
      <c r="D2080" s="1"/>
      <c r="E2080" s="1"/>
      <c r="F2080" s="1"/>
      <c r="G2080" s="1"/>
    </row>
    <row r="2081" spans="2:7" ht="12.75">
      <c r="B2081" s="1" t="s">
        <v>51</v>
      </c>
      <c r="C2081" s="1"/>
      <c r="D2081" s="1"/>
      <c r="E2081" s="1"/>
      <c r="F2081" s="1"/>
      <c r="G2081" s="1"/>
    </row>
    <row r="2082" spans="2:7" ht="12.75">
      <c r="B2082" s="1" t="s">
        <v>137</v>
      </c>
      <c r="C2082" s="1"/>
      <c r="D2082" s="1"/>
      <c r="E2082" s="1"/>
      <c r="F2082" s="1"/>
      <c r="G2082" s="1"/>
    </row>
    <row r="2083" spans="2:7" ht="12.75" customHeight="1">
      <c r="B2083" s="2"/>
      <c r="C2083" s="2" t="s">
        <v>3</v>
      </c>
      <c r="D2083" s="3" t="s">
        <v>41</v>
      </c>
      <c r="E2083" s="3"/>
      <c r="F2083" s="4" t="s">
        <v>109</v>
      </c>
      <c r="G2083" s="4"/>
    </row>
    <row r="2084" spans="2:7" ht="12.75">
      <c r="B2084" s="2"/>
      <c r="C2084" s="2"/>
      <c r="D2084" s="3" t="s">
        <v>6</v>
      </c>
      <c r="E2084" s="3" t="s">
        <v>7</v>
      </c>
      <c r="F2084" s="3" t="s">
        <v>6</v>
      </c>
      <c r="G2084" s="3" t="s">
        <v>8</v>
      </c>
    </row>
    <row r="2085" spans="2:7" ht="12.75">
      <c r="B2085" s="5">
        <v>1</v>
      </c>
      <c r="C2085" s="6" t="s">
        <v>9</v>
      </c>
      <c r="D2085" s="13">
        <v>3147.78</v>
      </c>
      <c r="E2085" s="13"/>
      <c r="F2085" s="13">
        <v>3147.78</v>
      </c>
      <c r="G2085" s="13"/>
    </row>
    <row r="2086" spans="2:7" ht="12.75">
      <c r="B2086" s="5">
        <v>2</v>
      </c>
      <c r="C2086" s="7" t="s">
        <v>10</v>
      </c>
      <c r="D2086" s="8"/>
      <c r="E2086" s="8"/>
      <c r="F2086" s="8" t="s">
        <v>3</v>
      </c>
      <c r="G2086" s="8"/>
    </row>
    <row r="2087" spans="2:7" ht="12.75">
      <c r="B2087" s="5"/>
      <c r="C2087" s="20" t="s">
        <v>11</v>
      </c>
      <c r="D2087" s="9"/>
      <c r="E2087" s="9"/>
      <c r="F2087" s="9">
        <v>929593.88</v>
      </c>
      <c r="G2087" s="9"/>
    </row>
    <row r="2088" spans="2:7" ht="12.75">
      <c r="B2088" s="5"/>
      <c r="C2088" s="34" t="s">
        <v>12</v>
      </c>
      <c r="D2088" s="9"/>
      <c r="E2088" s="9"/>
      <c r="F2088" s="9">
        <v>890437.93</v>
      </c>
      <c r="G2088" s="9"/>
    </row>
    <row r="2089" spans="2:7" ht="12.75">
      <c r="B2089" s="5"/>
      <c r="C2089" s="2" t="s">
        <v>13</v>
      </c>
      <c r="D2089" s="9"/>
      <c r="E2089" s="9"/>
      <c r="F2089" s="9">
        <f>F2088-F2087</f>
        <v>-39155.94999999995</v>
      </c>
      <c r="G2089" s="9"/>
    </row>
    <row r="2090" spans="2:7" ht="12.75">
      <c r="B2090" s="5">
        <v>3</v>
      </c>
      <c r="C2090" s="10" t="s">
        <v>14</v>
      </c>
      <c r="D2090" s="1" t="s">
        <v>15</v>
      </c>
      <c r="E2090" s="1"/>
      <c r="F2090" s="1" t="s">
        <v>15</v>
      </c>
      <c r="G2090" s="1"/>
    </row>
    <row r="2091" spans="2:7" ht="12.75">
      <c r="B2091" s="11" t="s">
        <v>16</v>
      </c>
      <c r="C2091" s="11"/>
      <c r="D2091" s="13">
        <f>E2091*D2085*12/1000</f>
        <v>102.36580559999999</v>
      </c>
      <c r="E2091" s="13">
        <v>2.71</v>
      </c>
      <c r="F2091" s="13">
        <v>125.5</v>
      </c>
      <c r="G2091" s="13">
        <f>F2091/3147.78/12*1000</f>
        <v>3.3224473544318003</v>
      </c>
    </row>
    <row r="2092" spans="2:7" ht="12.75" customHeight="1">
      <c r="B2092" s="14" t="s">
        <v>17</v>
      </c>
      <c r="C2092" s="14"/>
      <c r="D2092" s="1">
        <f>D2093+D2094+D2095</f>
        <v>211.7</v>
      </c>
      <c r="E2092" s="13">
        <f>D2092/3147.78/12*1000</f>
        <v>5.604478923770614</v>
      </c>
      <c r="F2092" s="12">
        <f>F2093+F2094+F2095</f>
        <v>868.87</v>
      </c>
      <c r="G2092" s="13">
        <f>F2092/3147.78/12*1000</f>
        <v>23.002189903148672</v>
      </c>
    </row>
    <row r="2093" spans="2:7" ht="12.75">
      <c r="B2093" s="2"/>
      <c r="C2093" s="15" t="s">
        <v>18</v>
      </c>
      <c r="D2093" s="9">
        <v>164.5</v>
      </c>
      <c r="E2093" s="13">
        <f>D2093/3147.78/12*1000</f>
        <v>4.354921034295069</v>
      </c>
      <c r="F2093" s="9">
        <f>60.44+23.6+101.13</f>
        <v>185.17</v>
      </c>
      <c r="G2093" s="13">
        <f>F2093/3147.78/12*1000</f>
        <v>4.902132084622601</v>
      </c>
    </row>
    <row r="2094" spans="2:7" ht="12.75">
      <c r="B2094" s="2"/>
      <c r="C2094" s="15" t="s">
        <v>19</v>
      </c>
      <c r="D2094" s="18">
        <v>47.2</v>
      </c>
      <c r="E2094" s="13">
        <f>D2094/3147.78/12*1000</f>
        <v>1.2495578894755457</v>
      </c>
      <c r="F2094" s="45">
        <f>677-4.5</f>
        <v>672.5</v>
      </c>
      <c r="G2094" s="13">
        <f>F2094/3147.78/12*1000</f>
        <v>17.80355255661662</v>
      </c>
    </row>
    <row r="2095" spans="2:7" ht="12.75">
      <c r="B2095" s="32" t="s">
        <v>20</v>
      </c>
      <c r="C2095" s="32"/>
      <c r="D2095" s="18">
        <v>0</v>
      </c>
      <c r="E2095" s="13">
        <f>D2095/3148.4/12*1000</f>
        <v>0</v>
      </c>
      <c r="F2095" s="18">
        <v>11.2</v>
      </c>
      <c r="G2095" s="13">
        <f>F2095/3147.78/12*1000</f>
        <v>0.2965052619094515</v>
      </c>
    </row>
    <row r="2096" spans="2:7" ht="12.75" customHeight="1">
      <c r="B2096" s="19" t="s">
        <v>21</v>
      </c>
      <c r="C2096" s="19"/>
      <c r="D2096" s="13">
        <f>D2097+D2099+D2098</f>
        <v>236.08350000000002</v>
      </c>
      <c r="E2096" s="13">
        <f>D2096/3147.78/12*1000</f>
        <v>6.249999999999999</v>
      </c>
      <c r="F2096" s="13">
        <f>F2097+F2099+F2098</f>
        <v>231.36999999999995</v>
      </c>
      <c r="G2096" s="13">
        <f>F2096/3147.78/12*1000</f>
        <v>6.125216289999088</v>
      </c>
    </row>
    <row r="2097" spans="2:7" ht="12.75">
      <c r="B2097" s="2"/>
      <c r="C2097" s="15" t="s">
        <v>22</v>
      </c>
      <c r="D2097" s="9">
        <f>E2097*D2085*12/1000</f>
        <v>197.93240640000002</v>
      </c>
      <c r="E2097" s="13">
        <v>5.24</v>
      </c>
      <c r="F2097" s="8">
        <f>141.1+43.05+6.17+19.04+2.56+2.9+5.2+0.32+2.21</f>
        <v>222.54999999999995</v>
      </c>
      <c r="G2097" s="13">
        <f>F2097/3147.78/12*1000</f>
        <v>5.891718396245395</v>
      </c>
    </row>
    <row r="2098" spans="2:7" ht="12.75">
      <c r="B2098" s="2"/>
      <c r="C2098" s="15" t="s">
        <v>23</v>
      </c>
      <c r="D2098" s="9">
        <f>E2098*D2085*12/1000</f>
        <v>35.1292248</v>
      </c>
      <c r="E2098" s="13">
        <v>0.93</v>
      </c>
      <c r="F2098" s="9">
        <v>8.07</v>
      </c>
      <c r="G2098" s="13">
        <f>F2098/3147.78/12*1000</f>
        <v>0.21364263067939943</v>
      </c>
    </row>
    <row r="2099" spans="2:7" ht="12.75">
      <c r="B2099" s="2"/>
      <c r="C2099" s="20" t="s">
        <v>24</v>
      </c>
      <c r="D2099" s="9">
        <f>E2099*D2085*12/1000</f>
        <v>3.0218688</v>
      </c>
      <c r="E2099" s="13">
        <v>0.08</v>
      </c>
      <c r="F2099" s="9">
        <v>0.75</v>
      </c>
      <c r="G2099" s="13">
        <f>F2099/3147.78/12*1000</f>
        <v>0.01985526307429363</v>
      </c>
    </row>
    <row r="2100" spans="2:7" ht="12.75">
      <c r="B2100" s="11" t="s">
        <v>25</v>
      </c>
      <c r="C2100" s="11"/>
      <c r="D2100" s="13">
        <f>E2100*D2085*12/1000</f>
        <v>22.2862824</v>
      </c>
      <c r="E2100" s="13">
        <v>0.59</v>
      </c>
      <c r="F2100" s="13">
        <v>26.64</v>
      </c>
      <c r="G2100" s="13">
        <f>F2100/3147.78/12*1000</f>
        <v>0.7052589443989096</v>
      </c>
    </row>
    <row r="2101" spans="2:7" ht="12.75">
      <c r="B2101" s="21" t="s">
        <v>26</v>
      </c>
      <c r="C2101" s="21"/>
      <c r="D2101" s="13">
        <f>E2101*D2085*12/1000</f>
        <v>116.7196824</v>
      </c>
      <c r="E2101" s="13">
        <v>3.09</v>
      </c>
      <c r="F2101" s="1">
        <f>21.15+97.08</f>
        <v>118.22999999999999</v>
      </c>
      <c r="G2101" s="13">
        <f>F2101/3147.78/12*1000</f>
        <v>3.1299836710316478</v>
      </c>
    </row>
    <row r="2102" spans="2:7" ht="12.75">
      <c r="B2102" s="21"/>
      <c r="C2102" s="22" t="s">
        <v>138</v>
      </c>
      <c r="D2102" s="13">
        <v>0</v>
      </c>
      <c r="E2102" s="13">
        <f>D2102/3148.4/12*1000</f>
        <v>0</v>
      </c>
      <c r="F2102" s="1">
        <v>10.58</v>
      </c>
      <c r="G2102" s="13">
        <f>F2102/3147.78/6*1000</f>
        <v>0.5601831555360709</v>
      </c>
    </row>
    <row r="2103" spans="2:7" ht="12.75">
      <c r="B2103" s="2"/>
      <c r="C2103" s="10" t="s">
        <v>28</v>
      </c>
      <c r="D2103" s="12">
        <f>D2091+D2092+D2096+D2100+D2101</f>
        <v>689.1552704</v>
      </c>
      <c r="E2103" s="12">
        <f>E2091+E2092+E2096+E2100+E2101</f>
        <v>18.244478923770615</v>
      </c>
      <c r="F2103" s="12">
        <f>F2091+F2092+F2096+F2100+F2101+F2102</f>
        <v>1381.19</v>
      </c>
      <c r="G2103" s="13">
        <f>G2091+G2092+G2096+G2100+G2101+G2102</f>
        <v>36.84527931854619</v>
      </c>
    </row>
    <row r="2104" spans="2:7" ht="12.75">
      <c r="B2104" s="2">
        <v>4</v>
      </c>
      <c r="C2104" s="10" t="s">
        <v>29</v>
      </c>
      <c r="D2104" s="13">
        <v>68.9</v>
      </c>
      <c r="E2104" s="12">
        <v>1.81</v>
      </c>
      <c r="F2104" s="12"/>
      <c r="G2104" s="12"/>
    </row>
    <row r="2105" spans="2:7" ht="12.75">
      <c r="B2105" s="5">
        <v>5</v>
      </c>
      <c r="C2105" s="10" t="s">
        <v>13</v>
      </c>
      <c r="D2105" s="13">
        <f>D2103+D2104</f>
        <v>758.0552703999999</v>
      </c>
      <c r="E2105" s="13">
        <f>E2103+E2104</f>
        <v>20.054478923770613</v>
      </c>
      <c r="F2105" s="13">
        <f>F2103-F2088/1000</f>
        <v>490.75207</v>
      </c>
      <c r="G2105" s="13"/>
    </row>
    <row r="2106" spans="2:7" ht="12.75">
      <c r="B2106" s="5"/>
      <c r="C2106" s="10"/>
      <c r="D2106" s="13"/>
      <c r="E2106" s="13"/>
      <c r="F2106" s="13"/>
      <c r="G2106" s="13"/>
    </row>
    <row r="2107" spans="2:7" ht="12.75">
      <c r="B2107" s="11" t="s">
        <v>30</v>
      </c>
      <c r="C2107" s="11"/>
      <c r="D2107" s="33" t="s">
        <v>6</v>
      </c>
      <c r="E2107" s="25"/>
      <c r="F2107" s="25"/>
      <c r="G2107" s="13"/>
    </row>
    <row r="2108" spans="2:7" ht="12.75">
      <c r="B2108" s="25"/>
      <c r="C2108" s="34" t="s">
        <v>31</v>
      </c>
      <c r="D2108" s="35">
        <v>40543.84</v>
      </c>
      <c r="E2108" s="25"/>
      <c r="F2108" s="25"/>
      <c r="G2108" s="13"/>
    </row>
    <row r="2109" spans="2:7" ht="12.75">
      <c r="B2109" s="5"/>
      <c r="C2109" s="23" t="s">
        <v>32</v>
      </c>
      <c r="D2109" s="35">
        <v>33443</v>
      </c>
      <c r="E2109" s="25"/>
      <c r="F2109" s="25"/>
      <c r="G2109" s="13"/>
    </row>
    <row r="2110" spans="2:7" ht="12.75">
      <c r="B2110" s="5"/>
      <c r="C2110" s="36" t="s">
        <v>13</v>
      </c>
      <c r="D2110" s="33">
        <f>D2109-D2108</f>
        <v>-7100.8399999999965</v>
      </c>
      <c r="E2110" s="25"/>
      <c r="F2110" s="25"/>
      <c r="G2110" s="13"/>
    </row>
    <row r="2111" spans="2:7" ht="12.75">
      <c r="B2111" s="5"/>
      <c r="C2111" s="34" t="s">
        <v>33</v>
      </c>
      <c r="D2111" s="35">
        <v>44856.35</v>
      </c>
      <c r="E2111" s="25"/>
      <c r="F2111" s="25"/>
      <c r="G2111" s="13"/>
    </row>
    <row r="2112" spans="2:7" ht="12.75">
      <c r="B2112" s="5"/>
      <c r="C2112" s="23" t="s">
        <v>34</v>
      </c>
      <c r="D2112" s="35">
        <v>37076.51</v>
      </c>
      <c r="E2112" s="25"/>
      <c r="F2112" s="25"/>
      <c r="G2112" s="13"/>
    </row>
    <row r="2113" spans="2:7" ht="12.75">
      <c r="B2113" s="5"/>
      <c r="C2113" s="36" t="s">
        <v>13</v>
      </c>
      <c r="D2113" s="33">
        <f>D2112-D2111</f>
        <v>-7779.8399999999965</v>
      </c>
      <c r="E2113" s="25"/>
      <c r="F2113" s="25"/>
      <c r="G2113" s="13"/>
    </row>
    <row r="2114" spans="2:7" ht="12.75">
      <c r="B2114" s="5"/>
      <c r="C2114" s="34" t="s">
        <v>42</v>
      </c>
      <c r="D2114" s="35">
        <v>2990.45</v>
      </c>
      <c r="E2114" s="25"/>
      <c r="F2114" s="25"/>
      <c r="G2114" s="13"/>
    </row>
    <row r="2115" spans="2:7" ht="12.75">
      <c r="B2115" s="5"/>
      <c r="C2115" s="23" t="s">
        <v>43</v>
      </c>
      <c r="D2115" s="35">
        <v>1937.42</v>
      </c>
      <c r="E2115" s="25"/>
      <c r="F2115" s="25"/>
      <c r="G2115" s="13"/>
    </row>
    <row r="2116" spans="2:7" ht="12.75">
      <c r="B2116" s="5"/>
      <c r="C2116" s="36" t="s">
        <v>13</v>
      </c>
      <c r="D2116" s="33">
        <f>D2115-D2114</f>
        <v>-1053.0299999999997</v>
      </c>
      <c r="E2116" s="25"/>
      <c r="F2116" s="25"/>
      <c r="G2116" s="13"/>
    </row>
    <row r="2117" spans="2:7" ht="12.75">
      <c r="B2117" s="11"/>
      <c r="C2117" s="36" t="s">
        <v>35</v>
      </c>
      <c r="D2117" s="50">
        <f>D2110+D2113+D2116</f>
        <v>-15933.709999999992</v>
      </c>
      <c r="E2117" s="25"/>
      <c r="F2117" s="25"/>
      <c r="G2117" s="13"/>
    </row>
    <row r="2118" spans="2:7" ht="12.75">
      <c r="B2118" s="11"/>
      <c r="C2118" s="11"/>
      <c r="D2118" s="27"/>
      <c r="E2118" s="25"/>
      <c r="F2118" s="25"/>
      <c r="G2118" s="13"/>
    </row>
    <row r="2119" spans="2:7" ht="12.75">
      <c r="B2119" s="11"/>
      <c r="C2119" s="14" t="s">
        <v>44</v>
      </c>
      <c r="D2119" s="27" t="s">
        <v>37</v>
      </c>
      <c r="E2119" s="25"/>
      <c r="F2119" s="46">
        <v>506.7</v>
      </c>
      <c r="G2119" s="13"/>
    </row>
    <row r="2120" spans="2:7" ht="12.75">
      <c r="B2120" s="5"/>
      <c r="C2120" s="14" t="s">
        <v>127</v>
      </c>
      <c r="D2120" s="13"/>
      <c r="E2120" s="13"/>
      <c r="F2120" s="37">
        <v>481.4</v>
      </c>
      <c r="G2120" s="13"/>
    </row>
    <row r="2121" spans="2:7" ht="12.75">
      <c r="B2121" s="23" t="s">
        <v>39</v>
      </c>
      <c r="C2121" s="23"/>
      <c r="D2121" s="23"/>
      <c r="E2121" s="23"/>
      <c r="F2121" s="23"/>
      <c r="G2121" s="23"/>
    </row>
    <row r="2123" spans="2:7" ht="12.75">
      <c r="B2123" s="1" t="s">
        <v>0</v>
      </c>
      <c r="C2123" s="1"/>
      <c r="D2123" s="1"/>
      <c r="E2123" s="1"/>
      <c r="F2123" s="1"/>
      <c r="G2123" s="1"/>
    </row>
    <row r="2124" spans="2:7" ht="12.75">
      <c r="B2124" s="1" t="s">
        <v>1</v>
      </c>
      <c r="C2124" s="1"/>
      <c r="D2124" s="1"/>
      <c r="E2124" s="1"/>
      <c r="F2124" s="1"/>
      <c r="G2124" s="1"/>
    </row>
    <row r="2125" spans="2:7" ht="12.75">
      <c r="B2125" s="1" t="s">
        <v>139</v>
      </c>
      <c r="C2125" s="1"/>
      <c r="D2125" s="1"/>
      <c r="E2125" s="1"/>
      <c r="F2125" s="1"/>
      <c r="G2125" s="1"/>
    </row>
    <row r="2126" spans="2:7" ht="12.75" customHeight="1">
      <c r="B2126" s="2"/>
      <c r="C2126" s="2" t="s">
        <v>3</v>
      </c>
      <c r="D2126" s="3" t="s">
        <v>41</v>
      </c>
      <c r="E2126" s="3"/>
      <c r="F2126" s="4" t="s">
        <v>109</v>
      </c>
      <c r="G2126" s="4"/>
    </row>
    <row r="2127" spans="2:7" ht="12.75">
      <c r="B2127" s="2"/>
      <c r="C2127" s="2"/>
      <c r="D2127" s="3" t="s">
        <v>6</v>
      </c>
      <c r="E2127" s="3" t="s">
        <v>7</v>
      </c>
      <c r="F2127" s="3" t="s">
        <v>6</v>
      </c>
      <c r="G2127" s="3" t="s">
        <v>8</v>
      </c>
    </row>
    <row r="2128" spans="2:7" ht="12.75">
      <c r="B2128" s="5">
        <v>1</v>
      </c>
      <c r="C2128" s="6" t="s">
        <v>9</v>
      </c>
      <c r="D2128" s="13">
        <v>1968.1</v>
      </c>
      <c r="E2128" s="13"/>
      <c r="F2128" s="13">
        <v>1968.1</v>
      </c>
      <c r="G2128" s="13"/>
    </row>
    <row r="2129" spans="2:7" ht="12.75">
      <c r="B2129" s="5">
        <v>2</v>
      </c>
      <c r="C2129" s="7" t="s">
        <v>55</v>
      </c>
      <c r="D2129" s="8"/>
      <c r="E2129" s="8"/>
      <c r="F2129" s="8" t="s">
        <v>3</v>
      </c>
      <c r="G2129" s="8"/>
    </row>
    <row r="2130" spans="2:7" ht="12.75">
      <c r="B2130" s="5"/>
      <c r="C2130" s="20" t="s">
        <v>56</v>
      </c>
      <c r="D2130" s="9"/>
      <c r="E2130" s="9"/>
      <c r="F2130" s="9">
        <v>473542.23</v>
      </c>
      <c r="G2130" s="9"/>
    </row>
    <row r="2131" spans="2:7" ht="12.75">
      <c r="B2131" s="5"/>
      <c r="C2131" s="34" t="s">
        <v>57</v>
      </c>
      <c r="D2131" s="9"/>
      <c r="E2131" s="9"/>
      <c r="F2131" s="9">
        <v>488568.09</v>
      </c>
      <c r="G2131" s="9"/>
    </row>
    <row r="2132" spans="2:7" ht="12.75">
      <c r="B2132" s="5"/>
      <c r="C2132" s="2" t="s">
        <v>13</v>
      </c>
      <c r="D2132" s="9"/>
      <c r="E2132" s="9"/>
      <c r="F2132" s="9">
        <f>F2131-F2130</f>
        <v>15025.860000000044</v>
      </c>
      <c r="G2132" s="9"/>
    </row>
    <row r="2133" spans="2:7" ht="12.75">
      <c r="B2133" s="5">
        <v>3</v>
      </c>
      <c r="C2133" s="10" t="s">
        <v>14</v>
      </c>
      <c r="D2133" s="1" t="s">
        <v>15</v>
      </c>
      <c r="E2133" s="1"/>
      <c r="F2133" s="1" t="s">
        <v>15</v>
      </c>
      <c r="G2133" s="1"/>
    </row>
    <row r="2134" spans="2:7" ht="12.75">
      <c r="B2134" s="11" t="s">
        <v>16</v>
      </c>
      <c r="C2134" s="11"/>
      <c r="D2134" s="13">
        <f>E2134*D2128*12/1000</f>
        <v>64.002612</v>
      </c>
      <c r="E2134" s="13">
        <v>2.71</v>
      </c>
      <c r="F2134" s="13">
        <v>64</v>
      </c>
      <c r="G2134" s="13">
        <f>F2134/1967.9/12*1000</f>
        <v>2.7101648118976236</v>
      </c>
    </row>
    <row r="2135" spans="2:7" ht="12.75" customHeight="1">
      <c r="B2135" s="14" t="s">
        <v>17</v>
      </c>
      <c r="C2135" s="14"/>
      <c r="D2135" s="1">
        <f>D2136+D2137+D2138</f>
        <v>132.3</v>
      </c>
      <c r="E2135" s="13">
        <f>D2135/1968.1/12*1000</f>
        <v>5.601849499517302</v>
      </c>
      <c r="F2135" s="12">
        <f>F2136+F2137+F2138</f>
        <v>148.32</v>
      </c>
      <c r="G2135" s="13">
        <f>F2135/1967.9/12*1000</f>
        <v>6.280806951572742</v>
      </c>
    </row>
    <row r="2136" spans="2:7" ht="12.75">
      <c r="B2136" s="2"/>
      <c r="C2136" s="15" t="s">
        <v>18</v>
      </c>
      <c r="D2136" s="9">
        <v>102.5</v>
      </c>
      <c r="E2136" s="13">
        <f>D2136/1968.1/12*1000</f>
        <v>4.3400572464136316</v>
      </c>
      <c r="F2136" s="9">
        <f>37.79+1.8+63.23</f>
        <v>102.82</v>
      </c>
      <c r="G2136" s="13">
        <f>F2136/1967.9/12*1000</f>
        <v>4.354049155614275</v>
      </c>
    </row>
    <row r="2137" spans="2:7" ht="12.75">
      <c r="B2137" s="2"/>
      <c r="C2137" s="15" t="s">
        <v>19</v>
      </c>
      <c r="D2137" s="18">
        <v>29.8</v>
      </c>
      <c r="E2137" s="13">
        <f>D2137/1968.1/12*1000</f>
        <v>1.2617922531036703</v>
      </c>
      <c r="F2137" s="18">
        <v>45.5</v>
      </c>
      <c r="G2137" s="13">
        <f>F2137/1967.9/12*1000</f>
        <v>1.9267577959584667</v>
      </c>
    </row>
    <row r="2138" spans="2:7" ht="12.75">
      <c r="B2138" s="32" t="s">
        <v>20</v>
      </c>
      <c r="C2138" s="32"/>
      <c r="D2138" s="18">
        <v>0</v>
      </c>
      <c r="E2138" s="13">
        <f>D2138/1967.9/12*1000</f>
        <v>0</v>
      </c>
      <c r="F2138" s="18">
        <v>0</v>
      </c>
      <c r="G2138" s="13">
        <f>F2138/1967.9/12*1000</f>
        <v>0</v>
      </c>
    </row>
    <row r="2139" spans="2:7" ht="12.75" customHeight="1">
      <c r="B2139" s="19" t="s">
        <v>21</v>
      </c>
      <c r="C2139" s="19"/>
      <c r="D2139" s="13">
        <f>D2140+D2142+D2141</f>
        <v>147.6075</v>
      </c>
      <c r="E2139" s="13">
        <f>D2139/1968.1/12*1000</f>
        <v>6.249999999999999</v>
      </c>
      <c r="F2139" s="13">
        <f>F2140+F2142+F2141</f>
        <v>154.62999999999997</v>
      </c>
      <c r="G2139" s="13">
        <f>F2139/1967.9/12*1000</f>
        <v>6.548012263495773</v>
      </c>
    </row>
    <row r="2140" spans="2:7" ht="12.75">
      <c r="B2140" s="2"/>
      <c r="C2140" s="15" t="s">
        <v>22</v>
      </c>
      <c r="D2140" s="9">
        <f>E2140*D2128*12/1000</f>
        <v>123.754128</v>
      </c>
      <c r="E2140" s="13">
        <v>5.24</v>
      </c>
      <c r="F2140" s="8">
        <f>88.25+26.92+3.86+11.9+1.6+4.2+4.13+4.63+0.2+1.38</f>
        <v>147.06999999999996</v>
      </c>
      <c r="G2140" s="13">
        <f>F2140/1967.9/12*1000</f>
        <v>6.227874045090366</v>
      </c>
    </row>
    <row r="2141" spans="2:7" ht="12.75">
      <c r="B2141" s="2"/>
      <c r="C2141" s="15" t="s">
        <v>23</v>
      </c>
      <c r="D2141" s="9">
        <f>E2141*D2128*12/1000</f>
        <v>21.963995999999998</v>
      </c>
      <c r="E2141" s="13">
        <v>0.93</v>
      </c>
      <c r="F2141" s="9">
        <v>6.06</v>
      </c>
      <c r="G2141" s="13">
        <f>F2141/1967.9/12*1000</f>
        <v>0.25661873062655616</v>
      </c>
    </row>
    <row r="2142" spans="2:7" ht="12.75">
      <c r="B2142" s="2"/>
      <c r="C2142" s="20" t="s">
        <v>24</v>
      </c>
      <c r="D2142" s="9">
        <f>E2142*D2128*12/1000</f>
        <v>1.8893760000000002</v>
      </c>
      <c r="E2142" s="13">
        <v>0.08</v>
      </c>
      <c r="F2142" s="9">
        <v>1.5</v>
      </c>
      <c r="G2142" s="13">
        <f>F2142/1967.9/12*1000</f>
        <v>0.06351948777885055</v>
      </c>
    </row>
    <row r="2143" spans="2:7" ht="12.75">
      <c r="B2143" s="11" t="s">
        <v>25</v>
      </c>
      <c r="C2143" s="11"/>
      <c r="D2143" s="13">
        <f>E2143*D2128*12/1000</f>
        <v>13.934147999999997</v>
      </c>
      <c r="E2143" s="13">
        <v>0.59</v>
      </c>
      <c r="F2143" s="13">
        <v>14.6</v>
      </c>
      <c r="G2143" s="13">
        <f>F2143/1967.9/12*1000</f>
        <v>0.6182563477141453</v>
      </c>
    </row>
    <row r="2144" spans="2:7" ht="12.75">
      <c r="B2144" s="21" t="s">
        <v>26</v>
      </c>
      <c r="C2144" s="21"/>
      <c r="D2144" s="13">
        <f>E2144*D2128*12/1000</f>
        <v>72.97714799999999</v>
      </c>
      <c r="E2144" s="13">
        <v>3.09</v>
      </c>
      <c r="F2144" s="1">
        <f>13.23+60.7</f>
        <v>73.93</v>
      </c>
      <c r="G2144" s="13">
        <f>F2144/1967.9/12*1000</f>
        <v>3.130663820993614</v>
      </c>
    </row>
    <row r="2145" spans="2:7" ht="12.75">
      <c r="B2145" s="2"/>
      <c r="C2145" s="10" t="s">
        <v>28</v>
      </c>
      <c r="D2145" s="12">
        <f>D2134+D2135+D2139+D2143+D2144</f>
        <v>430.821408</v>
      </c>
      <c r="E2145" s="12">
        <f>E2134+E2135+E2139+E2143+E2144</f>
        <v>18.2418494995173</v>
      </c>
      <c r="F2145" s="12">
        <f>F2134+F2135+F2139+F2143+F2144</f>
        <v>455.47999999999996</v>
      </c>
      <c r="G2145" s="13">
        <f>G2134+G2135+G2139+G2143+G2144</f>
        <v>19.2879041956739</v>
      </c>
    </row>
    <row r="2146" spans="2:7" ht="12.75">
      <c r="B2146" s="2">
        <v>4</v>
      </c>
      <c r="C2146" s="10" t="s">
        <v>29</v>
      </c>
      <c r="D2146" s="13">
        <v>43.08</v>
      </c>
      <c r="E2146" s="12">
        <v>1.81</v>
      </c>
      <c r="F2146" s="12"/>
      <c r="G2146" s="12"/>
    </row>
    <row r="2147" spans="2:7" ht="12.75">
      <c r="B2147" s="5">
        <v>5</v>
      </c>
      <c r="C2147" s="10" t="s">
        <v>13</v>
      </c>
      <c r="D2147" s="13">
        <f>D2145+D2146</f>
        <v>473.901408</v>
      </c>
      <c r="E2147" s="13">
        <f>E2145+E2146</f>
        <v>20.0518494995173</v>
      </c>
      <c r="F2147" s="13">
        <f>F2145-F2131/1000</f>
        <v>-33.08809000000008</v>
      </c>
      <c r="G2147" s="13"/>
    </row>
    <row r="2148" spans="2:7" ht="12.75">
      <c r="B2148" s="5"/>
      <c r="C2148" s="10"/>
      <c r="D2148" s="13"/>
      <c r="E2148" s="13"/>
      <c r="F2148" s="13"/>
      <c r="G2148" s="13"/>
    </row>
    <row r="2149" spans="2:7" ht="12.75">
      <c r="B2149" s="11" t="s">
        <v>30</v>
      </c>
      <c r="C2149" s="11"/>
      <c r="D2149" s="33" t="s">
        <v>6</v>
      </c>
      <c r="E2149" s="25"/>
      <c r="F2149" s="25"/>
      <c r="G2149" s="13"/>
    </row>
    <row r="2150" spans="2:7" ht="12.75">
      <c r="B2150" s="25"/>
      <c r="C2150" s="34" t="s">
        <v>31</v>
      </c>
      <c r="D2150" s="35">
        <v>51585.84</v>
      </c>
      <c r="E2150" s="25"/>
      <c r="F2150" s="25"/>
      <c r="G2150" s="13"/>
    </row>
    <row r="2151" spans="2:7" ht="12.75">
      <c r="B2151" s="5"/>
      <c r="C2151" s="23" t="s">
        <v>32</v>
      </c>
      <c r="D2151" s="35">
        <v>47761.49</v>
      </c>
      <c r="E2151" s="25"/>
      <c r="F2151" s="25"/>
      <c r="G2151" s="13"/>
    </row>
    <row r="2152" spans="2:7" ht="12.75">
      <c r="B2152" s="5"/>
      <c r="C2152" s="36" t="s">
        <v>13</v>
      </c>
      <c r="D2152" s="33">
        <f>D2151-D2150</f>
        <v>-3824.3499999999985</v>
      </c>
      <c r="E2152" s="25"/>
      <c r="F2152" s="25"/>
      <c r="G2152" s="13"/>
    </row>
    <row r="2153" spans="2:7" ht="12.75">
      <c r="B2153" s="5"/>
      <c r="C2153" s="34" t="s">
        <v>33</v>
      </c>
      <c r="D2153" s="35">
        <v>57136.17</v>
      </c>
      <c r="E2153" s="25"/>
      <c r="F2153" s="25"/>
      <c r="G2153" s="13"/>
    </row>
    <row r="2154" spans="2:7" ht="12.75">
      <c r="B2154" s="5"/>
      <c r="C2154" s="23" t="s">
        <v>34</v>
      </c>
      <c r="D2154" s="35">
        <v>52622.84</v>
      </c>
      <c r="E2154" s="25"/>
      <c r="F2154" s="25"/>
      <c r="G2154" s="13"/>
    </row>
    <row r="2155" spans="2:7" ht="12.75">
      <c r="B2155" s="5"/>
      <c r="C2155" s="36" t="s">
        <v>13</v>
      </c>
      <c r="D2155" s="33">
        <f>D2154-D2153</f>
        <v>-4513.330000000002</v>
      </c>
      <c r="E2155" s="25"/>
      <c r="F2155" s="25"/>
      <c r="G2155" s="13"/>
    </row>
    <row r="2156" spans="2:7" ht="12.75">
      <c r="B2156" s="5"/>
      <c r="C2156" s="34" t="s">
        <v>42</v>
      </c>
      <c r="D2156" s="35">
        <v>21413.07</v>
      </c>
      <c r="E2156" s="25"/>
      <c r="F2156" s="25"/>
      <c r="G2156" s="13"/>
    </row>
    <row r="2157" spans="2:7" ht="12.75">
      <c r="B2157" s="5"/>
      <c r="C2157" s="23" t="s">
        <v>43</v>
      </c>
      <c r="D2157" s="35">
        <v>19501.53</v>
      </c>
      <c r="E2157" s="25"/>
      <c r="F2157" s="25"/>
      <c r="G2157" s="13"/>
    </row>
    <row r="2158" spans="2:7" ht="12.75">
      <c r="B2158" s="5"/>
      <c r="C2158" s="36" t="s">
        <v>13</v>
      </c>
      <c r="D2158" s="33">
        <f>D2157-D2156</f>
        <v>-1911.5400000000009</v>
      </c>
      <c r="E2158" s="25"/>
      <c r="F2158" s="25"/>
      <c r="G2158" s="13"/>
    </row>
    <row r="2159" spans="2:7" ht="12.75">
      <c r="B2159" s="11"/>
      <c r="C2159" s="36" t="s">
        <v>35</v>
      </c>
      <c r="D2159" s="50">
        <f>D2152+D2155+D2158</f>
        <v>-10249.220000000001</v>
      </c>
      <c r="E2159" s="25"/>
      <c r="F2159" s="25"/>
      <c r="G2159" s="13"/>
    </row>
    <row r="2160" spans="2:7" ht="12.75">
      <c r="B2160" s="11"/>
      <c r="C2160" s="11"/>
      <c r="D2160" s="27"/>
      <c r="E2160" s="25"/>
      <c r="F2160" s="25"/>
      <c r="G2160" s="13"/>
    </row>
    <row r="2161" spans="2:7" ht="12.75">
      <c r="B2161" s="11"/>
      <c r="C2161" s="14" t="s">
        <v>44</v>
      </c>
      <c r="D2161" s="27" t="s">
        <v>37</v>
      </c>
      <c r="E2161" s="25"/>
      <c r="F2161" s="47">
        <v>-22.84</v>
      </c>
      <c r="G2161" s="13"/>
    </row>
    <row r="2162" spans="2:7" ht="12.75">
      <c r="B2162" s="5"/>
      <c r="C2162" s="14" t="s">
        <v>127</v>
      </c>
      <c r="D2162" s="13"/>
      <c r="E2162" s="13"/>
      <c r="F2162" s="37">
        <v>303.9</v>
      </c>
      <c r="G2162" s="13"/>
    </row>
    <row r="2163" spans="2:7" ht="12.75">
      <c r="B2163" s="23" t="s">
        <v>39</v>
      </c>
      <c r="C2163" s="23"/>
      <c r="D2163" s="23"/>
      <c r="E2163" s="23"/>
      <c r="F2163" s="23"/>
      <c r="G2163" s="23"/>
    </row>
    <row r="2165" spans="2:7" ht="12.75">
      <c r="B2165" s="1" t="s">
        <v>0</v>
      </c>
      <c r="C2165" s="1"/>
      <c r="D2165" s="1"/>
      <c r="E2165" s="1"/>
      <c r="F2165" s="1"/>
      <c r="G2165" s="1"/>
    </row>
    <row r="2166" spans="2:7" ht="12.75">
      <c r="B2166" s="1" t="s">
        <v>46</v>
      </c>
      <c r="C2166" s="1"/>
      <c r="D2166" s="1"/>
      <c r="E2166" s="1"/>
      <c r="F2166" s="1"/>
      <c r="G2166" s="1"/>
    </row>
    <row r="2167" spans="2:7" ht="12.75">
      <c r="B2167" s="1" t="s">
        <v>140</v>
      </c>
      <c r="C2167" s="1"/>
      <c r="D2167" s="1"/>
      <c r="E2167" s="1"/>
      <c r="F2167" s="1"/>
      <c r="G2167" s="1"/>
    </row>
    <row r="2168" spans="2:7" ht="12.75" customHeight="1">
      <c r="B2168" s="2"/>
      <c r="C2168" s="2" t="s">
        <v>3</v>
      </c>
      <c r="D2168" s="3" t="s">
        <v>41</v>
      </c>
      <c r="E2168" s="3"/>
      <c r="F2168" s="4" t="s">
        <v>109</v>
      </c>
      <c r="G2168" s="4"/>
    </row>
    <row r="2169" spans="2:7" ht="12.75">
      <c r="B2169" s="2"/>
      <c r="C2169" s="2"/>
      <c r="D2169" s="3" t="s">
        <v>6</v>
      </c>
      <c r="E2169" s="3" t="s">
        <v>7</v>
      </c>
      <c r="F2169" s="3" t="s">
        <v>6</v>
      </c>
      <c r="G2169" s="3" t="s">
        <v>8</v>
      </c>
    </row>
    <row r="2170" spans="2:7" ht="12.75">
      <c r="B2170" s="5">
        <v>1</v>
      </c>
      <c r="C2170" s="6" t="s">
        <v>9</v>
      </c>
      <c r="D2170" s="13">
        <v>2003.8</v>
      </c>
      <c r="E2170" s="13"/>
      <c r="F2170" s="13">
        <v>2003.8</v>
      </c>
      <c r="G2170" s="13"/>
    </row>
    <row r="2171" spans="2:7" ht="12.75">
      <c r="B2171" s="5">
        <v>2</v>
      </c>
      <c r="C2171" s="7" t="s">
        <v>10</v>
      </c>
      <c r="D2171" s="8"/>
      <c r="E2171" s="8"/>
      <c r="F2171" s="8" t="s">
        <v>3</v>
      </c>
      <c r="G2171" s="8"/>
    </row>
    <row r="2172" spans="2:7" ht="12.75">
      <c r="B2172" s="5"/>
      <c r="C2172" s="2" t="s">
        <v>49</v>
      </c>
      <c r="D2172" s="9"/>
      <c r="E2172" s="9"/>
      <c r="F2172" s="9">
        <v>492842.83</v>
      </c>
      <c r="G2172" s="9"/>
    </row>
    <row r="2173" spans="2:7" ht="12.75">
      <c r="B2173" s="5"/>
      <c r="C2173" s="2" t="s">
        <v>50</v>
      </c>
      <c r="D2173" s="9"/>
      <c r="E2173" s="9"/>
      <c r="F2173" s="9">
        <v>539143.26</v>
      </c>
      <c r="G2173" s="9"/>
    </row>
    <row r="2174" spans="2:7" ht="12.75">
      <c r="B2174" s="5"/>
      <c r="C2174" s="2" t="s">
        <v>13</v>
      </c>
      <c r="D2174" s="9"/>
      <c r="E2174" s="9"/>
      <c r="F2174" s="9">
        <f>F2173-F2172</f>
        <v>46300.42999999999</v>
      </c>
      <c r="G2174" s="9"/>
    </row>
    <row r="2175" spans="2:7" ht="12.75">
      <c r="B2175" s="5">
        <v>3</v>
      </c>
      <c r="C2175" s="10" t="s">
        <v>14</v>
      </c>
      <c r="D2175" s="1" t="s">
        <v>15</v>
      </c>
      <c r="E2175" s="1"/>
      <c r="F2175" s="1" t="s">
        <v>15</v>
      </c>
      <c r="G2175" s="1"/>
    </row>
    <row r="2176" spans="2:7" ht="12.75">
      <c r="B2176" s="11" t="s">
        <v>16</v>
      </c>
      <c r="C2176" s="11"/>
      <c r="D2176" s="13">
        <v>65.16</v>
      </c>
      <c r="E2176" s="13">
        <v>2.71</v>
      </c>
      <c r="F2176" s="13">
        <v>66.5</v>
      </c>
      <c r="G2176" s="13">
        <f>F2176/2003.8/12*1000</f>
        <v>2.765578733739229</v>
      </c>
    </row>
    <row r="2177" spans="2:7" ht="12.75" customHeight="1">
      <c r="B2177" s="14" t="s">
        <v>17</v>
      </c>
      <c r="C2177" s="14"/>
      <c r="D2177" s="1">
        <f>D2178+D2179+D2180</f>
        <v>134.8</v>
      </c>
      <c r="E2177" s="13">
        <f>D2177/2003.8/12*1000</f>
        <v>5.606015237715009</v>
      </c>
      <c r="F2177" s="12">
        <f>F2178+F2179+F2180</f>
        <v>162.58</v>
      </c>
      <c r="G2177" s="13">
        <f>F2177/2003.8/12*1000</f>
        <v>6.7613201583657725</v>
      </c>
    </row>
    <row r="2178" spans="2:7" ht="12.75">
      <c r="B2178" s="2"/>
      <c r="C2178" s="15" t="s">
        <v>18</v>
      </c>
      <c r="D2178" s="9">
        <v>104.5</v>
      </c>
      <c r="E2178" s="13">
        <f>D2178/2003.8/12*1000</f>
        <v>4.345909438733074</v>
      </c>
      <c r="F2178" s="9">
        <f>38.47+1.84+64.37</f>
        <v>104.68</v>
      </c>
      <c r="G2178" s="13">
        <f>F2178/2003.8/12*1000</f>
        <v>4.353395215756729</v>
      </c>
    </row>
    <row r="2179" spans="2:7" ht="12.75">
      <c r="B2179" s="2"/>
      <c r="C2179" s="15" t="s">
        <v>19</v>
      </c>
      <c r="D2179" s="18">
        <v>30.3</v>
      </c>
      <c r="E2179" s="13">
        <f>D2179/2003.8/12*1000</f>
        <v>1.2601057989819342</v>
      </c>
      <c r="F2179" s="45">
        <v>57.9</v>
      </c>
      <c r="G2179" s="13">
        <f>F2179/2003.8/12*1000</f>
        <v>2.4079249426090428</v>
      </c>
    </row>
    <row r="2180" spans="2:7" ht="12.75">
      <c r="B2180" s="32" t="s">
        <v>20</v>
      </c>
      <c r="C2180" s="32"/>
      <c r="D2180" s="18">
        <v>0</v>
      </c>
      <c r="E2180" s="13">
        <f>D2180/2004.45/12*1000</f>
        <v>0</v>
      </c>
      <c r="F2180" s="18">
        <v>0</v>
      </c>
      <c r="G2180" s="13">
        <f>F2180/2003.8/12*1000</f>
        <v>0</v>
      </c>
    </row>
    <row r="2181" spans="2:7" ht="12.75" customHeight="1">
      <c r="B2181" s="19" t="s">
        <v>21</v>
      </c>
      <c r="C2181" s="19"/>
      <c r="D2181" s="13">
        <f>D2182+D2184+D2183</f>
        <v>150.28</v>
      </c>
      <c r="E2181" s="13">
        <f>D2181/2003.8/12*1000</f>
        <v>6.249792061749343</v>
      </c>
      <c r="F2181" s="13">
        <f>F2182+F2184+F2183</f>
        <v>152.55</v>
      </c>
      <c r="G2181" s="13">
        <f>F2181/2003.8/12*1000</f>
        <v>6.344196027547659</v>
      </c>
    </row>
    <row r="2182" spans="2:7" ht="12.75">
      <c r="B2182" s="2"/>
      <c r="C2182" s="15" t="s">
        <v>22</v>
      </c>
      <c r="D2182" s="9">
        <v>126</v>
      </c>
      <c r="E2182" s="13">
        <v>5.24</v>
      </c>
      <c r="F2182" s="8">
        <f>89.85+27.4+3.93+12.1+1.63+2.8+3.27+4.37+0.2+1.4</f>
        <v>146.95000000000002</v>
      </c>
      <c r="G2182" s="13">
        <f>F2182/2003.8/12*1000</f>
        <v>6.111305186811726</v>
      </c>
    </row>
    <row r="2183" spans="2:7" ht="12.75">
      <c r="B2183" s="2"/>
      <c r="C2183" s="15" t="s">
        <v>23</v>
      </c>
      <c r="D2183" s="9">
        <v>22.36</v>
      </c>
      <c r="E2183" s="13">
        <v>0.93</v>
      </c>
      <c r="F2183" s="9">
        <v>4.6</v>
      </c>
      <c r="G2183" s="13">
        <f>F2183/2003.8/12*1000</f>
        <v>0.19130319060451806</v>
      </c>
    </row>
    <row r="2184" spans="2:7" ht="12.75">
      <c r="B2184" s="2"/>
      <c r="C2184" s="20" t="s">
        <v>24</v>
      </c>
      <c r="D2184" s="9">
        <v>1.92</v>
      </c>
      <c r="E2184" s="13">
        <v>0.08</v>
      </c>
      <c r="F2184" s="9">
        <v>1</v>
      </c>
      <c r="G2184" s="13">
        <f>F2184/2003.8/12*1000</f>
        <v>0.04158765013141698</v>
      </c>
    </row>
    <row r="2185" spans="2:7" ht="12.75">
      <c r="B2185" s="11" t="s">
        <v>25</v>
      </c>
      <c r="C2185" s="11"/>
      <c r="D2185" s="13">
        <v>14.2</v>
      </c>
      <c r="E2185" s="13">
        <v>0.59</v>
      </c>
      <c r="F2185" s="13">
        <v>16.1</v>
      </c>
      <c r="G2185" s="13">
        <f>F2185/2003.8/12*1000</f>
        <v>0.6695611671158133</v>
      </c>
    </row>
    <row r="2186" spans="2:7" ht="12.75">
      <c r="B2186" s="21" t="s">
        <v>26</v>
      </c>
      <c r="C2186" s="21"/>
      <c r="D2186" s="13">
        <v>74.3</v>
      </c>
      <c r="E2186" s="13">
        <v>3.09</v>
      </c>
      <c r="F2186" s="1">
        <f>13.47+61.8</f>
        <v>75.27</v>
      </c>
      <c r="G2186" s="13">
        <f>F2186/2003.8/12*1000</f>
        <v>3.130302425391756</v>
      </c>
    </row>
    <row r="2187" spans="2:7" ht="12.75">
      <c r="B2187" s="2"/>
      <c r="C2187" s="10" t="s">
        <v>28</v>
      </c>
      <c r="D2187" s="12">
        <f>D2176+D2177+D2181+D2185+D2186</f>
        <v>438.74</v>
      </c>
      <c r="E2187" s="12">
        <f>E2176+E2177+E2181+E2185+E2186</f>
        <v>18.245807299464353</v>
      </c>
      <c r="F2187" s="12">
        <f>F2176+F2177+F2181+F2185+F2186</f>
        <v>473</v>
      </c>
      <c r="G2187" s="13">
        <f>G2176+G2177+G2181+G2185+G2186</f>
        <v>19.670958512160233</v>
      </c>
    </row>
    <row r="2188" spans="2:7" ht="12.75">
      <c r="B2188" s="2">
        <v>4</v>
      </c>
      <c r="C2188" s="10" t="s">
        <v>29</v>
      </c>
      <c r="D2188" s="13">
        <v>43.87</v>
      </c>
      <c r="E2188" s="12">
        <v>1.8</v>
      </c>
      <c r="F2188" s="12"/>
      <c r="G2188" s="12"/>
    </row>
    <row r="2189" spans="2:7" ht="12.75">
      <c r="B2189" s="5">
        <v>5</v>
      </c>
      <c r="C2189" s="10" t="s">
        <v>13</v>
      </c>
      <c r="D2189" s="13">
        <f>D2187+D2188</f>
        <v>482.61</v>
      </c>
      <c r="E2189" s="13">
        <f>E2187+E2188</f>
        <v>20.045807299464354</v>
      </c>
      <c r="F2189" s="13">
        <f>F2187-F2173/1000</f>
        <v>-66.14326000000005</v>
      </c>
      <c r="G2189" s="13"/>
    </row>
    <row r="2190" spans="2:7" ht="12.75">
      <c r="B2190" s="5"/>
      <c r="C2190" s="10"/>
      <c r="D2190" s="13"/>
      <c r="E2190" s="13"/>
      <c r="F2190" s="13"/>
      <c r="G2190" s="13"/>
    </row>
    <row r="2191" spans="2:7" ht="12.75">
      <c r="B2191" s="11" t="s">
        <v>30</v>
      </c>
      <c r="C2191" s="11"/>
      <c r="D2191" s="33" t="s">
        <v>6</v>
      </c>
      <c r="E2191" s="25"/>
      <c r="F2191" s="25"/>
      <c r="G2191" s="13"/>
    </row>
    <row r="2192" spans="2:7" ht="12.75">
      <c r="B2192" s="25"/>
      <c r="C2192" s="34" t="s">
        <v>31</v>
      </c>
      <c r="D2192" s="35">
        <v>47676.52</v>
      </c>
      <c r="E2192" s="25"/>
      <c r="F2192" s="25"/>
      <c r="G2192" s="13"/>
    </row>
    <row r="2193" spans="2:7" ht="12.75">
      <c r="B2193" s="5"/>
      <c r="C2193" s="23" t="s">
        <v>32</v>
      </c>
      <c r="D2193" s="35">
        <v>46270.93</v>
      </c>
      <c r="E2193" s="25"/>
      <c r="F2193" s="25"/>
      <c r="G2193" s="13"/>
    </row>
    <row r="2194" spans="2:7" ht="12.75">
      <c r="B2194" s="5"/>
      <c r="C2194" s="36" t="s">
        <v>13</v>
      </c>
      <c r="D2194" s="33">
        <f>D2193-D2192</f>
        <v>-1405.5899999999965</v>
      </c>
      <c r="E2194" s="25"/>
      <c r="F2194" s="25"/>
      <c r="G2194" s="13"/>
    </row>
    <row r="2195" spans="2:7" ht="12.75">
      <c r="B2195" s="5"/>
      <c r="C2195" s="34" t="s">
        <v>33</v>
      </c>
      <c r="D2195" s="35">
        <v>52766.85</v>
      </c>
      <c r="E2195" s="25"/>
      <c r="F2195" s="25"/>
      <c r="G2195" s="13"/>
    </row>
    <row r="2196" spans="2:7" ht="12.75">
      <c r="B2196" s="5"/>
      <c r="C2196" s="23" t="s">
        <v>34</v>
      </c>
      <c r="D2196" s="35">
        <v>51087.32</v>
      </c>
      <c r="E2196" s="25"/>
      <c r="F2196" s="25"/>
      <c r="G2196" s="13"/>
    </row>
    <row r="2197" spans="2:7" ht="12.75">
      <c r="B2197" s="5"/>
      <c r="C2197" s="36" t="s">
        <v>13</v>
      </c>
      <c r="D2197" s="33">
        <f>D2196-D2195</f>
        <v>-1679.5299999999988</v>
      </c>
      <c r="E2197" s="25"/>
      <c r="F2197" s="25"/>
      <c r="G2197" s="13"/>
    </row>
    <row r="2198" spans="2:7" ht="12.75">
      <c r="B2198" s="5"/>
      <c r="C2198" s="34" t="s">
        <v>42</v>
      </c>
      <c r="D2198" s="35">
        <v>26510.44</v>
      </c>
      <c r="E2198" s="25"/>
      <c r="F2198" s="25"/>
      <c r="G2198" s="13"/>
    </row>
    <row r="2199" spans="2:7" ht="12.75">
      <c r="B2199" s="5"/>
      <c r="C2199" s="23" t="s">
        <v>43</v>
      </c>
      <c r="D2199" s="35">
        <v>19131.92</v>
      </c>
      <c r="E2199" s="25"/>
      <c r="F2199" s="25"/>
      <c r="G2199" s="13"/>
    </row>
    <row r="2200" spans="2:7" ht="12.75">
      <c r="B2200" s="5"/>
      <c r="C2200" s="36" t="s">
        <v>13</v>
      </c>
      <c r="D2200" s="33">
        <f>D2199-D2198</f>
        <v>-7378.52</v>
      </c>
      <c r="E2200" s="25"/>
      <c r="F2200" s="25"/>
      <c r="G2200" s="13"/>
    </row>
    <row r="2201" spans="2:7" ht="12.75">
      <c r="B2201" s="11"/>
      <c r="C2201" s="36" t="s">
        <v>35</v>
      </c>
      <c r="D2201" s="50">
        <f>D2194+D2197+D2200</f>
        <v>-10463.639999999996</v>
      </c>
      <c r="E2201" s="25"/>
      <c r="F2201" s="25"/>
      <c r="G2201" s="13"/>
    </row>
    <row r="2202" spans="2:7" ht="12.75">
      <c r="B2202" s="11"/>
      <c r="C2202" s="11"/>
      <c r="D2202" s="27"/>
      <c r="E2202" s="25"/>
      <c r="F2202" s="25"/>
      <c r="G2202" s="13"/>
    </row>
    <row r="2203" spans="2:7" ht="12.75">
      <c r="B2203" s="11"/>
      <c r="C2203" s="14" t="s">
        <v>44</v>
      </c>
      <c r="D2203" s="27" t="s">
        <v>37</v>
      </c>
      <c r="E2203" s="25"/>
      <c r="F2203" s="46">
        <v>-55.68</v>
      </c>
      <c r="G2203" s="13"/>
    </row>
    <row r="2204" spans="2:7" ht="12.75">
      <c r="B2204" s="5"/>
      <c r="C2204" s="14" t="s">
        <v>127</v>
      </c>
      <c r="D2204" s="13"/>
      <c r="E2204" s="13"/>
      <c r="F2204" s="37">
        <v>151.9</v>
      </c>
      <c r="G2204" s="13"/>
    </row>
    <row r="2205" spans="2:7" ht="12.75">
      <c r="B2205" s="23" t="s">
        <v>39</v>
      </c>
      <c r="C2205" s="23"/>
      <c r="D2205" s="23"/>
      <c r="E2205" s="23"/>
      <c r="F2205" s="23"/>
      <c r="G2205" s="23"/>
    </row>
    <row r="2207" spans="2:7" ht="12.75">
      <c r="B2207" s="1" t="s">
        <v>0</v>
      </c>
      <c r="C2207" s="1"/>
      <c r="D2207" s="1"/>
      <c r="E2207" s="1"/>
      <c r="F2207" s="1"/>
      <c r="G2207" s="1"/>
    </row>
    <row r="2208" spans="2:7" ht="12.75">
      <c r="B2208" s="1" t="s">
        <v>51</v>
      </c>
      <c r="C2208" s="1"/>
      <c r="D2208" s="1"/>
      <c r="E2208" s="1"/>
      <c r="F2208" s="1"/>
      <c r="G2208" s="1"/>
    </row>
    <row r="2209" spans="2:7" ht="12.75">
      <c r="B2209" s="1" t="s">
        <v>141</v>
      </c>
      <c r="C2209" s="1"/>
      <c r="D2209" s="1"/>
      <c r="E2209" s="1"/>
      <c r="F2209" s="1"/>
      <c r="G2209" s="1"/>
    </row>
    <row r="2210" spans="2:7" ht="12.75" customHeight="1">
      <c r="B2210" s="2"/>
      <c r="C2210" s="2" t="s">
        <v>3</v>
      </c>
      <c r="D2210" s="3" t="s">
        <v>41</v>
      </c>
      <c r="E2210" s="3"/>
      <c r="F2210" s="4" t="s">
        <v>109</v>
      </c>
      <c r="G2210" s="4"/>
    </row>
    <row r="2211" spans="2:7" ht="12.75">
      <c r="B2211" s="2"/>
      <c r="C2211" s="2"/>
      <c r="D2211" s="3" t="s">
        <v>6</v>
      </c>
      <c r="E2211" s="3" t="s">
        <v>7</v>
      </c>
      <c r="F2211" s="3" t="s">
        <v>6</v>
      </c>
      <c r="G2211" s="3" t="s">
        <v>8</v>
      </c>
    </row>
    <row r="2212" spans="2:7" ht="12.75">
      <c r="B2212" s="5">
        <v>1</v>
      </c>
      <c r="C2212" s="6" t="s">
        <v>9</v>
      </c>
      <c r="D2212" s="13">
        <v>2884.6</v>
      </c>
      <c r="E2212" s="13"/>
      <c r="F2212" s="13">
        <v>2884.6</v>
      </c>
      <c r="G2212" s="13"/>
    </row>
    <row r="2213" spans="2:7" ht="12.75">
      <c r="B2213" s="5">
        <v>2</v>
      </c>
      <c r="C2213" s="7" t="s">
        <v>55</v>
      </c>
      <c r="D2213" s="8"/>
      <c r="E2213" s="8"/>
      <c r="F2213" s="8" t="s">
        <v>3</v>
      </c>
      <c r="G2213" s="8"/>
    </row>
    <row r="2214" spans="2:7" ht="12.75">
      <c r="B2214" s="5"/>
      <c r="C2214" s="20" t="s">
        <v>56</v>
      </c>
      <c r="D2214" s="9"/>
      <c r="E2214" s="9"/>
      <c r="F2214" s="9">
        <v>694034.76</v>
      </c>
      <c r="G2214" s="9"/>
    </row>
    <row r="2215" spans="2:7" ht="12.75">
      <c r="B2215" s="5"/>
      <c r="C2215" s="34" t="s">
        <v>57</v>
      </c>
      <c r="D2215" s="9"/>
      <c r="E2215" s="9"/>
      <c r="F2215" s="9">
        <v>727331.68</v>
      </c>
      <c r="G2215" s="9"/>
    </row>
    <row r="2216" spans="2:7" ht="12.75">
      <c r="B2216" s="5"/>
      <c r="C2216" s="2" t="s">
        <v>13</v>
      </c>
      <c r="D2216" s="9"/>
      <c r="E2216" s="9"/>
      <c r="F2216" s="9">
        <f>F2215-F2214</f>
        <v>33296.92000000004</v>
      </c>
      <c r="G2216" s="9"/>
    </row>
    <row r="2217" spans="2:7" ht="12.75">
      <c r="B2217" s="5">
        <v>3</v>
      </c>
      <c r="C2217" s="10" t="s">
        <v>14</v>
      </c>
      <c r="D2217" s="1" t="s">
        <v>15</v>
      </c>
      <c r="E2217" s="1"/>
      <c r="F2217" s="1" t="s">
        <v>15</v>
      </c>
      <c r="G2217" s="1"/>
    </row>
    <row r="2218" spans="2:7" ht="12.75">
      <c r="B2218" s="11" t="s">
        <v>16</v>
      </c>
      <c r="C2218" s="11"/>
      <c r="D2218" s="13">
        <v>93.8</v>
      </c>
      <c r="E2218" s="13">
        <f>D2218/2884.6/12*1000</f>
        <v>2.709792230003005</v>
      </c>
      <c r="F2218" s="13">
        <v>93.7</v>
      </c>
      <c r="G2218" s="13">
        <f>F2218/2884.6/12*1000</f>
        <v>2.706903325706626</v>
      </c>
    </row>
    <row r="2219" spans="2:7" ht="12.75" customHeight="1">
      <c r="B2219" s="14" t="s">
        <v>17</v>
      </c>
      <c r="C2219" s="14"/>
      <c r="D2219" s="1">
        <f>D2220+D2221+D2222</f>
        <v>194.29999999999998</v>
      </c>
      <c r="E2219" s="13">
        <f>D2219/2884.6/12*1000</f>
        <v>5.613141047863365</v>
      </c>
      <c r="F2219" s="12">
        <f>F2220+F2221+F2222</f>
        <v>524.0699999999999</v>
      </c>
      <c r="G2219" s="13">
        <f>F2219/2884.6/12*1000</f>
        <v>15.139880746030643</v>
      </c>
    </row>
    <row r="2220" spans="2:7" ht="12.75">
      <c r="B2220" s="2"/>
      <c r="C2220" s="15" t="s">
        <v>18</v>
      </c>
      <c r="D2220" s="9">
        <v>150.7</v>
      </c>
      <c r="E2220" s="13">
        <f>D2220/2884.6/12*1000</f>
        <v>4.3535787746423535</v>
      </c>
      <c r="F2220" s="9">
        <f>55.4+3.6+92.67</f>
        <v>151.67000000000002</v>
      </c>
      <c r="G2220" s="13">
        <f>F2220/2884.6/12*1000</f>
        <v>4.381601146317226</v>
      </c>
    </row>
    <row r="2221" spans="2:7" ht="12.75">
      <c r="B2221" s="2"/>
      <c r="C2221" s="15" t="s">
        <v>19</v>
      </c>
      <c r="D2221" s="18">
        <v>43.6</v>
      </c>
      <c r="E2221" s="13">
        <f>D2221/2884.6/12*1000</f>
        <v>1.2595622732210128</v>
      </c>
      <c r="F2221" s="45">
        <v>372.4</v>
      </c>
      <c r="G2221" s="13">
        <f>F2221/2884.6/12*1000</f>
        <v>10.75827959971342</v>
      </c>
    </row>
    <row r="2222" spans="2:7" ht="12.75">
      <c r="B2222" s="32" t="s">
        <v>20</v>
      </c>
      <c r="C2222" s="32"/>
      <c r="D2222" s="18">
        <v>0</v>
      </c>
      <c r="E2222" s="13">
        <f>D2222/2884.6/12*1000</f>
        <v>0</v>
      </c>
      <c r="F2222" s="18">
        <v>0</v>
      </c>
      <c r="G2222" s="13">
        <f>F2222/2884.6/12*1000</f>
        <v>0</v>
      </c>
    </row>
    <row r="2223" spans="2:7" ht="12.75" customHeight="1">
      <c r="B2223" s="19" t="s">
        <v>21</v>
      </c>
      <c r="C2223" s="19"/>
      <c r="D2223" s="13">
        <f>D2224+D2226+D2225</f>
        <v>216.37</v>
      </c>
      <c r="E2223" s="13">
        <f>D2223/2884.6/12*1000</f>
        <v>6.250722226074094</v>
      </c>
      <c r="F2223" s="13">
        <f>F2224+F2226+F2225</f>
        <v>209.79000000000005</v>
      </c>
      <c r="G2223" s="13">
        <f>F2223/2884.6/12*1000</f>
        <v>6.060632323372392</v>
      </c>
    </row>
    <row r="2224" spans="2:7" ht="12.75">
      <c r="B2224" s="2"/>
      <c r="C2224" s="15" t="s">
        <v>22</v>
      </c>
      <c r="D2224" s="9">
        <v>181.4</v>
      </c>
      <c r="E2224" s="13">
        <f>D2224/2884.6/12*1000</f>
        <v>5.240472393630545</v>
      </c>
      <c r="F2224" s="8">
        <f>129.35+39.45+5.66+17.44+2.35+3.27+2.05+0.3+2.02</f>
        <v>201.89000000000004</v>
      </c>
      <c r="G2224" s="13">
        <f>F2224/2884.6/12*1000</f>
        <v>5.832408883958494</v>
      </c>
    </row>
    <row r="2225" spans="2:7" ht="12.75">
      <c r="B2225" s="2"/>
      <c r="C2225" s="15" t="s">
        <v>23</v>
      </c>
      <c r="D2225" s="9">
        <v>32.2</v>
      </c>
      <c r="E2225" s="13">
        <f>D2225/2884.6/12*1000</f>
        <v>0.9302271834338672</v>
      </c>
      <c r="F2225" s="9">
        <v>6.65</v>
      </c>
      <c r="G2225" s="13">
        <f>F2225/2884.6/12*1000</f>
        <v>0.19211213570916824</v>
      </c>
    </row>
    <row r="2226" spans="2:7" ht="12.75">
      <c r="B2226" s="2"/>
      <c r="C2226" s="20" t="s">
        <v>24</v>
      </c>
      <c r="D2226" s="9">
        <v>2.77</v>
      </c>
      <c r="E2226" s="13">
        <f>D2226/2884.6/12*1000</f>
        <v>0.08002264900968362</v>
      </c>
      <c r="F2226" s="9">
        <v>1.25</v>
      </c>
      <c r="G2226" s="13">
        <f>F2226/2884.6/12*1000</f>
        <v>0.036111303704730875</v>
      </c>
    </row>
    <row r="2227" spans="2:7" ht="12.75">
      <c r="B2227" s="11" t="s">
        <v>25</v>
      </c>
      <c r="C2227" s="11"/>
      <c r="D2227" s="13">
        <v>20.42</v>
      </c>
      <c r="E2227" s="13">
        <f>D2227/2884.6/12*1000</f>
        <v>0.5899142573204836</v>
      </c>
      <c r="F2227" s="13">
        <v>21.75</v>
      </c>
      <c r="G2227" s="13">
        <f>F2227/2884.6/12*1000</f>
        <v>0.6283366844623172</v>
      </c>
    </row>
    <row r="2228" spans="2:7" ht="12.75">
      <c r="B2228" s="21" t="s">
        <v>26</v>
      </c>
      <c r="C2228" s="21"/>
      <c r="D2228" s="13">
        <v>107</v>
      </c>
      <c r="E2228" s="13">
        <f>D2228/2884.6/12*1000</f>
        <v>3.0911275971249625</v>
      </c>
      <c r="F2228" s="1">
        <f>19.38+89</f>
        <v>108.38</v>
      </c>
      <c r="G2228" s="13">
        <f>F2228/2884.6/12*1000</f>
        <v>3.1309944764149855</v>
      </c>
    </row>
    <row r="2229" spans="2:7" ht="12.75">
      <c r="B2229" s="2"/>
      <c r="C2229" s="10" t="s">
        <v>28</v>
      </c>
      <c r="D2229" s="12">
        <f>D2218+D2219+D2223+D2227+D2228</f>
        <v>631.89</v>
      </c>
      <c r="E2229" s="12">
        <f>E2218+E2219+E2223+E2227+E2228</f>
        <v>18.25469735838591</v>
      </c>
      <c r="F2229" s="13">
        <f>F2218+F2219+F2223+F2227+F2228</f>
        <v>957.69</v>
      </c>
      <c r="G2229" s="13">
        <f>G2218+G2219+G2223+G2227+G2228</f>
        <v>27.666747555986966</v>
      </c>
    </row>
    <row r="2230" spans="2:7" ht="12.75">
      <c r="B2230" s="2">
        <v>4</v>
      </c>
      <c r="C2230" s="10" t="s">
        <v>29</v>
      </c>
      <c r="D2230" s="13">
        <v>63.15</v>
      </c>
      <c r="E2230" s="12">
        <v>1.8</v>
      </c>
      <c r="F2230" s="12"/>
      <c r="G2230" s="12"/>
    </row>
    <row r="2231" spans="2:7" ht="12.75">
      <c r="B2231" s="5">
        <v>5</v>
      </c>
      <c r="C2231" s="10" t="s">
        <v>13</v>
      </c>
      <c r="D2231" s="13">
        <f>D2229+D2230</f>
        <v>695.04</v>
      </c>
      <c r="E2231" s="13">
        <f>E2229+E2230</f>
        <v>20.054697358385912</v>
      </c>
      <c r="F2231" s="13">
        <f>F2229-F2215/1000</f>
        <v>230.35832000000005</v>
      </c>
      <c r="G2231" s="13"/>
    </row>
    <row r="2232" spans="2:7" ht="12.75">
      <c r="B2232" s="5"/>
      <c r="C2232" s="10"/>
      <c r="D2232" s="13"/>
      <c r="E2232" s="13"/>
      <c r="F2232" s="13"/>
      <c r="G2232" s="13"/>
    </row>
    <row r="2233" spans="2:7" ht="12.75">
      <c r="B2233" s="11" t="s">
        <v>30</v>
      </c>
      <c r="C2233" s="11"/>
      <c r="D2233" s="33" t="s">
        <v>6</v>
      </c>
      <c r="E2233" s="25"/>
      <c r="F2233" s="25"/>
      <c r="G2233" s="13"/>
    </row>
    <row r="2234" spans="2:7" ht="12.75">
      <c r="B2234" s="25"/>
      <c r="C2234" s="34" t="s">
        <v>31</v>
      </c>
      <c r="D2234" s="35">
        <v>56683.05</v>
      </c>
      <c r="E2234" s="25"/>
      <c r="F2234" s="25"/>
      <c r="G2234" s="13"/>
    </row>
    <row r="2235" spans="2:7" ht="12.75">
      <c r="B2235" s="5"/>
      <c r="C2235" s="23" t="s">
        <v>32</v>
      </c>
      <c r="D2235" s="35">
        <v>48323.07</v>
      </c>
      <c r="E2235" s="25"/>
      <c r="F2235" s="25"/>
      <c r="G2235" s="13"/>
    </row>
    <row r="2236" spans="2:7" ht="12.75">
      <c r="B2236" s="5"/>
      <c r="C2236" s="36" t="s">
        <v>13</v>
      </c>
      <c r="D2236" s="33">
        <f>D2235-D2234</f>
        <v>-8359.980000000003</v>
      </c>
      <c r="E2236" s="25"/>
      <c r="F2236" s="25"/>
      <c r="G2236" s="13"/>
    </row>
    <row r="2237" spans="2:7" ht="12.75">
      <c r="B2237" s="5"/>
      <c r="C2237" s="34" t="s">
        <v>33</v>
      </c>
      <c r="D2237" s="35">
        <v>62679.61</v>
      </c>
      <c r="E2237" s="25"/>
      <c r="F2237" s="25"/>
      <c r="G2237" s="13"/>
    </row>
    <row r="2238" spans="2:7" ht="12.75">
      <c r="B2238" s="5"/>
      <c r="C2238" s="23" t="s">
        <v>34</v>
      </c>
      <c r="D2238" s="35">
        <v>52772.26</v>
      </c>
      <c r="E2238" s="25"/>
      <c r="F2238" s="25"/>
      <c r="G2238" s="13"/>
    </row>
    <row r="2239" spans="2:7" ht="12.75">
      <c r="B2239" s="5"/>
      <c r="C2239" s="36" t="s">
        <v>13</v>
      </c>
      <c r="D2239" s="33">
        <f>D2238-D2237</f>
        <v>-9907.349999999999</v>
      </c>
      <c r="E2239" s="25"/>
      <c r="F2239" s="25"/>
      <c r="G2239" s="13"/>
    </row>
    <row r="2240" spans="2:7" ht="12.75">
      <c r="B2240" s="5"/>
      <c r="C2240" s="34" t="s">
        <v>42</v>
      </c>
      <c r="D2240" s="35">
        <v>16500.11</v>
      </c>
      <c r="E2240" s="25"/>
      <c r="F2240" s="25"/>
      <c r="G2240" s="13"/>
    </row>
    <row r="2241" spans="2:7" ht="12.75">
      <c r="B2241" s="5"/>
      <c r="C2241" s="23" t="s">
        <v>43</v>
      </c>
      <c r="D2241" s="35">
        <v>12205.71</v>
      </c>
      <c r="E2241" s="25"/>
      <c r="F2241" s="25"/>
      <c r="G2241" s="13"/>
    </row>
    <row r="2242" spans="2:7" ht="12.75">
      <c r="B2242" s="5"/>
      <c r="C2242" s="36" t="s">
        <v>13</v>
      </c>
      <c r="D2242" s="33">
        <f>D2241-D2240</f>
        <v>-4294.4000000000015</v>
      </c>
      <c r="E2242" s="25"/>
      <c r="F2242" s="25"/>
      <c r="G2242" s="13"/>
    </row>
    <row r="2243" spans="2:7" ht="12.75">
      <c r="B2243" s="11"/>
      <c r="C2243" s="36" t="s">
        <v>35</v>
      </c>
      <c r="D2243" s="50">
        <f>D2236+D2239+D2242</f>
        <v>-22561.730000000003</v>
      </c>
      <c r="E2243" s="25"/>
      <c r="F2243" s="25"/>
      <c r="G2243" s="13"/>
    </row>
    <row r="2244" spans="2:7" ht="12.75">
      <c r="B2244" s="11"/>
      <c r="C2244" s="11"/>
      <c r="D2244" s="27"/>
      <c r="E2244" s="25"/>
      <c r="F2244" s="25"/>
      <c r="G2244" s="13"/>
    </row>
    <row r="2245" spans="2:7" ht="12.75">
      <c r="B2245" s="11"/>
      <c r="C2245" s="14" t="s">
        <v>58</v>
      </c>
      <c r="D2245" s="27" t="s">
        <v>37</v>
      </c>
      <c r="E2245" s="25"/>
      <c r="F2245" s="24">
        <v>252.92</v>
      </c>
      <c r="G2245" s="13"/>
    </row>
    <row r="2246" spans="2:7" ht="12.75">
      <c r="B2246" s="5"/>
      <c r="C2246" s="14" t="s">
        <v>127</v>
      </c>
      <c r="D2246" s="13"/>
      <c r="E2246" s="13"/>
      <c r="F2246" s="37">
        <v>224.4</v>
      </c>
      <c r="G2246" s="13"/>
    </row>
    <row r="2247" spans="2:7" ht="12.75">
      <c r="B2247" s="23" t="s">
        <v>39</v>
      </c>
      <c r="C2247" s="23"/>
      <c r="D2247" s="23"/>
      <c r="E2247" s="23"/>
      <c r="F2247" s="23"/>
      <c r="G2247" s="23"/>
    </row>
    <row r="2249" spans="2:7" ht="12.75">
      <c r="B2249" s="1" t="s">
        <v>0</v>
      </c>
      <c r="C2249" s="1"/>
      <c r="D2249" s="1"/>
      <c r="E2249" s="1"/>
      <c r="F2249" s="1"/>
      <c r="G2249" s="1"/>
    </row>
    <row r="2250" spans="2:7" ht="12.75">
      <c r="B2250" s="1" t="s">
        <v>51</v>
      </c>
      <c r="C2250" s="1"/>
      <c r="D2250" s="1"/>
      <c r="E2250" s="1"/>
      <c r="F2250" s="1"/>
      <c r="G2250" s="1"/>
    </row>
    <row r="2251" spans="2:7" ht="12.75">
      <c r="B2251" s="1" t="s">
        <v>142</v>
      </c>
      <c r="C2251" s="1"/>
      <c r="D2251" s="1"/>
      <c r="E2251" s="1"/>
      <c r="F2251" s="1"/>
      <c r="G2251" s="1"/>
    </row>
    <row r="2252" spans="2:7" ht="12.75" customHeight="1">
      <c r="B2252" s="2"/>
      <c r="C2252" s="2" t="s">
        <v>3</v>
      </c>
      <c r="D2252" s="3" t="s">
        <v>41</v>
      </c>
      <c r="E2252" s="3"/>
      <c r="F2252" s="4" t="s">
        <v>109</v>
      </c>
      <c r="G2252" s="4"/>
    </row>
    <row r="2253" spans="2:7" ht="12.75">
      <c r="B2253" s="2"/>
      <c r="C2253" s="2"/>
      <c r="D2253" s="3" t="s">
        <v>6</v>
      </c>
      <c r="E2253" s="3" t="s">
        <v>7</v>
      </c>
      <c r="F2253" s="3" t="s">
        <v>6</v>
      </c>
      <c r="G2253" s="3" t="s">
        <v>8</v>
      </c>
    </row>
    <row r="2254" spans="2:7" ht="12.75">
      <c r="B2254" s="5">
        <v>1</v>
      </c>
      <c r="C2254" s="6" t="s">
        <v>9</v>
      </c>
      <c r="D2254" s="13">
        <v>6071</v>
      </c>
      <c r="E2254" s="13"/>
      <c r="F2254" s="13">
        <v>6071</v>
      </c>
      <c r="G2254" s="13"/>
    </row>
    <row r="2255" spans="2:7" ht="12.75">
      <c r="B2255" s="5">
        <v>2</v>
      </c>
      <c r="C2255" s="7" t="s">
        <v>55</v>
      </c>
      <c r="D2255" s="8"/>
      <c r="E2255" s="8"/>
      <c r="F2255" s="8" t="s">
        <v>3</v>
      </c>
      <c r="G2255" s="8"/>
    </row>
    <row r="2256" spans="2:7" ht="12.75">
      <c r="B2256" s="5"/>
      <c r="C2256" s="20" t="s">
        <v>56</v>
      </c>
      <c r="D2256" s="9"/>
      <c r="E2256" s="9"/>
      <c r="F2256" s="9">
        <v>1433364.6</v>
      </c>
      <c r="G2256" s="9"/>
    </row>
    <row r="2257" spans="2:7" ht="12.75">
      <c r="B2257" s="5"/>
      <c r="C2257" s="34" t="s">
        <v>57</v>
      </c>
      <c r="D2257" s="9"/>
      <c r="E2257" s="9"/>
      <c r="F2257" s="9">
        <v>1401171.36</v>
      </c>
      <c r="G2257" s="9"/>
    </row>
    <row r="2258" spans="2:7" ht="12.75">
      <c r="B2258" s="5"/>
      <c r="C2258" s="2" t="s">
        <v>13</v>
      </c>
      <c r="D2258" s="9"/>
      <c r="E2258" s="9"/>
      <c r="F2258" s="9">
        <f>F2257-F2256</f>
        <v>-32193.23999999999</v>
      </c>
      <c r="G2258" s="9"/>
    </row>
    <row r="2259" spans="2:7" ht="12.75">
      <c r="B2259" s="5">
        <v>3</v>
      </c>
      <c r="C2259" s="10" t="s">
        <v>14</v>
      </c>
      <c r="D2259" s="1" t="s">
        <v>15</v>
      </c>
      <c r="E2259" s="1"/>
      <c r="F2259" s="1" t="s">
        <v>15</v>
      </c>
      <c r="G2259" s="1"/>
    </row>
    <row r="2260" spans="2:7" ht="12.75">
      <c r="B2260" s="11" t="s">
        <v>16</v>
      </c>
      <c r="C2260" s="11"/>
      <c r="D2260" s="13">
        <v>193.4</v>
      </c>
      <c r="E2260" s="13">
        <f>D2260/6071/12*1000</f>
        <v>2.654697194311755</v>
      </c>
      <c r="F2260" s="13">
        <v>193.5</v>
      </c>
      <c r="G2260" s="13">
        <f>F2260/6071/12*1000</f>
        <v>2.6560698402240157</v>
      </c>
    </row>
    <row r="2261" spans="2:7" ht="12.75" customHeight="1">
      <c r="B2261" s="14" t="s">
        <v>17</v>
      </c>
      <c r="C2261" s="14"/>
      <c r="D2261" s="1">
        <f>D2262+D2263+D2264</f>
        <v>386</v>
      </c>
      <c r="E2261" s="13">
        <f>D2261/6071/12*1000</f>
        <v>5.298413221325427</v>
      </c>
      <c r="F2261" s="12">
        <f>F2262+F2263+F2264</f>
        <v>579.8100000000001</v>
      </c>
      <c r="G2261" s="13">
        <f>F2261/6071/12*1000</f>
        <v>7.958738263877451</v>
      </c>
    </row>
    <row r="2262" spans="2:7" ht="12.75">
      <c r="B2262" s="2"/>
      <c r="C2262" s="15" t="s">
        <v>18</v>
      </c>
      <c r="D2262" s="9">
        <v>317</v>
      </c>
      <c r="E2262" s="13">
        <f>D2262/6071/12*1000</f>
        <v>4.3512875418657</v>
      </c>
      <c r="F2262" s="9">
        <f>116.56+6.05+195</f>
        <v>317.61</v>
      </c>
      <c r="G2262" s="13">
        <f>F2262/6071/12*1000</f>
        <v>4.35966068193049</v>
      </c>
    </row>
    <row r="2263" spans="2:7" ht="12.75">
      <c r="B2263" s="2"/>
      <c r="C2263" s="15" t="s">
        <v>19</v>
      </c>
      <c r="D2263" s="18">
        <v>69</v>
      </c>
      <c r="E2263" s="13">
        <f>D2263/6071/12*1000</f>
        <v>0.9471256794597265</v>
      </c>
      <c r="F2263" s="45">
        <v>242.6</v>
      </c>
      <c r="G2263" s="13">
        <f>F2263/6071/12*1000</f>
        <v>3.330038983143908</v>
      </c>
    </row>
    <row r="2264" spans="2:7" ht="12.75">
      <c r="B2264" s="32" t="s">
        <v>20</v>
      </c>
      <c r="C2264" s="32"/>
      <c r="D2264" s="18">
        <v>0</v>
      </c>
      <c r="E2264" s="13">
        <f>D2264/6071/12*1000</f>
        <v>0</v>
      </c>
      <c r="F2264" s="18">
        <v>19.6</v>
      </c>
      <c r="G2264" s="13">
        <f>F2264/6071/12*1000</f>
        <v>0.26903859880305275</v>
      </c>
    </row>
    <row r="2265" spans="2:7" ht="12.75" customHeight="1">
      <c r="B2265" s="19" t="s">
        <v>21</v>
      </c>
      <c r="C2265" s="19"/>
      <c r="D2265" s="13">
        <f>D2266+D2268+D2267</f>
        <v>455.28</v>
      </c>
      <c r="E2265" s="13">
        <f>D2265/6071/12*1000</f>
        <v>6.249382309339483</v>
      </c>
      <c r="F2265" s="13">
        <f>F2266+F2268+F2267</f>
        <v>463.76</v>
      </c>
      <c r="G2265" s="13">
        <f>F2265/6071/12*1000</f>
        <v>6.365782682699171</v>
      </c>
    </row>
    <row r="2266" spans="2:7" ht="12.75">
      <c r="B2266" s="2"/>
      <c r="C2266" s="15" t="s">
        <v>22</v>
      </c>
      <c r="D2266" s="9">
        <v>381.7</v>
      </c>
      <c r="E2266" s="13">
        <f>D2266/6071/12*1000</f>
        <v>5.239389447098226</v>
      </c>
      <c r="F2266" s="8">
        <f>272.2+83.03+12+36.71+4.94+7.43+14.9+0.6+4.26</f>
        <v>436.07</v>
      </c>
      <c r="G2266" s="13">
        <f>F2266/6071/12*1000</f>
        <v>5.985697029594245</v>
      </c>
    </row>
    <row r="2267" spans="2:7" ht="12.75">
      <c r="B2267" s="2"/>
      <c r="C2267" s="15" t="s">
        <v>23</v>
      </c>
      <c r="D2267" s="9">
        <v>67.75</v>
      </c>
      <c r="E2267" s="13">
        <f>D2267/6071/12*1000</f>
        <v>0.9299676055564707</v>
      </c>
      <c r="F2267" s="9">
        <v>15.27</v>
      </c>
      <c r="G2267" s="13">
        <f>F2267/6071/12*1000</f>
        <v>0.20960303080217424</v>
      </c>
    </row>
    <row r="2268" spans="2:7" ht="12.75">
      <c r="B2268" s="2"/>
      <c r="C2268" s="20" t="s">
        <v>24</v>
      </c>
      <c r="D2268" s="9">
        <v>5.83</v>
      </c>
      <c r="E2268" s="13">
        <f>D2268/6071/12*1000</f>
        <v>0.08002525668478559</v>
      </c>
      <c r="F2268" s="9">
        <v>12.42</v>
      </c>
      <c r="G2268" s="13">
        <f>F2268/6071/12*1000</f>
        <v>0.1704826223027508</v>
      </c>
    </row>
    <row r="2269" spans="2:7" ht="12.75">
      <c r="B2269" s="11" t="s">
        <v>25</v>
      </c>
      <c r="C2269" s="11"/>
      <c r="D2269" s="13">
        <v>43</v>
      </c>
      <c r="E2269" s="13">
        <f>D2269/6071/12*1000</f>
        <v>0.5902377422720035</v>
      </c>
      <c r="F2269" s="13">
        <v>41.9</v>
      </c>
      <c r="G2269" s="13">
        <f>F2269/6071/12*1000</f>
        <v>0.5751386372371383</v>
      </c>
    </row>
    <row r="2270" spans="2:7" ht="12.75">
      <c r="B2270" s="21" t="s">
        <v>26</v>
      </c>
      <c r="C2270" s="21"/>
      <c r="D2270" s="13">
        <v>225.1</v>
      </c>
      <c r="E2270" s="13">
        <f>D2270/6071/12*1000</f>
        <v>3.0898259484983255</v>
      </c>
      <c r="F2270" s="1">
        <f>40.8+187.23</f>
        <v>228.02999999999997</v>
      </c>
      <c r="G2270" s="13">
        <f>F2270/6071/12*1000</f>
        <v>3.130044473727557</v>
      </c>
    </row>
    <row r="2271" spans="2:7" ht="12.75">
      <c r="B2271" s="2"/>
      <c r="C2271" s="10" t="s">
        <v>28</v>
      </c>
      <c r="D2271" s="12">
        <f>D2260+D2261+D2265+D2269+D2270</f>
        <v>1302.7799999999997</v>
      </c>
      <c r="E2271" s="12">
        <f>E2260+E2261+E2265+E2269+E2270</f>
        <v>17.882556415746993</v>
      </c>
      <c r="F2271" s="13">
        <f>F2260+F2261+F2265+F2269+F2270</f>
        <v>1507.0000000000002</v>
      </c>
      <c r="G2271" s="13">
        <f>G2260+G2261+G2265+G2269+G2270</f>
        <v>20.685773897765337</v>
      </c>
    </row>
    <row r="2272" spans="2:7" ht="12.75">
      <c r="B2272" s="2">
        <v>4</v>
      </c>
      <c r="C2272" s="10" t="s">
        <v>29</v>
      </c>
      <c r="D2272" s="13">
        <v>130.3</v>
      </c>
      <c r="E2272" s="13">
        <v>1.8</v>
      </c>
      <c r="F2272" s="12"/>
      <c r="G2272" s="12"/>
    </row>
    <row r="2273" spans="2:7" ht="12.75">
      <c r="B2273" s="5">
        <v>5</v>
      </c>
      <c r="C2273" s="10" t="s">
        <v>13</v>
      </c>
      <c r="D2273" s="13">
        <f>D2271+D2272</f>
        <v>1433.0799999999997</v>
      </c>
      <c r="E2273" s="13">
        <f>E2271+E2272</f>
        <v>19.682556415746994</v>
      </c>
      <c r="F2273" s="13">
        <f>F2271-F2257/1000</f>
        <v>105.82864000000018</v>
      </c>
      <c r="G2273" s="13"/>
    </row>
    <row r="2274" spans="2:7" ht="12.75">
      <c r="B2274" s="5"/>
      <c r="C2274" s="10"/>
      <c r="D2274" s="13"/>
      <c r="E2274" s="13"/>
      <c r="F2274" s="13"/>
      <c r="G2274" s="13"/>
    </row>
    <row r="2275" spans="2:7" ht="12.75">
      <c r="B2275" s="11" t="s">
        <v>30</v>
      </c>
      <c r="C2275" s="11"/>
      <c r="D2275" s="33" t="s">
        <v>6</v>
      </c>
      <c r="E2275" s="25"/>
      <c r="F2275" s="25"/>
      <c r="G2275" s="13"/>
    </row>
    <row r="2276" spans="2:7" ht="12.75">
      <c r="B2276" s="25"/>
      <c r="C2276" s="34" t="s">
        <v>31</v>
      </c>
      <c r="D2276" s="35">
        <v>37944.34</v>
      </c>
      <c r="E2276" s="25"/>
      <c r="F2276" s="25"/>
      <c r="G2276" s="13"/>
    </row>
    <row r="2277" spans="2:7" ht="12.75">
      <c r="B2277" s="5"/>
      <c r="C2277" s="23" t="s">
        <v>32</v>
      </c>
      <c r="D2277" s="35">
        <v>31710.16</v>
      </c>
      <c r="E2277" s="25"/>
      <c r="F2277" s="25"/>
      <c r="G2277" s="13"/>
    </row>
    <row r="2278" spans="2:7" ht="12.75">
      <c r="B2278" s="5"/>
      <c r="C2278" s="36" t="s">
        <v>13</v>
      </c>
      <c r="D2278" s="33">
        <f>D2277-D2276</f>
        <v>-6234.179999999997</v>
      </c>
      <c r="E2278" s="25"/>
      <c r="F2278" s="25"/>
      <c r="G2278" s="13"/>
    </row>
    <row r="2279" spans="2:7" ht="12.75">
      <c r="B2279" s="5"/>
      <c r="C2279" s="34" t="s">
        <v>33</v>
      </c>
      <c r="D2279" s="35">
        <v>49904.28</v>
      </c>
      <c r="E2279" s="25"/>
      <c r="F2279" s="25"/>
      <c r="G2279" s="13"/>
    </row>
    <row r="2280" spans="2:7" ht="12.75">
      <c r="B2280" s="5"/>
      <c r="C2280" s="23" t="s">
        <v>34</v>
      </c>
      <c r="D2280" s="35">
        <v>39997.79</v>
      </c>
      <c r="E2280" s="25"/>
      <c r="F2280" s="25"/>
      <c r="G2280" s="13"/>
    </row>
    <row r="2281" spans="2:7" ht="12.75">
      <c r="B2281" s="5"/>
      <c r="C2281" s="36" t="s">
        <v>13</v>
      </c>
      <c r="D2281" s="33">
        <f>D2280-D2279</f>
        <v>-9906.489999999998</v>
      </c>
      <c r="E2281" s="25"/>
      <c r="F2281" s="25"/>
      <c r="G2281" s="13"/>
    </row>
    <row r="2282" spans="2:7" ht="12.75">
      <c r="B2282" s="5"/>
      <c r="C2282" s="34" t="s">
        <v>143</v>
      </c>
      <c r="D2282" s="35">
        <v>38490.12</v>
      </c>
      <c r="E2282" s="25"/>
      <c r="F2282" s="25"/>
      <c r="G2282" s="13"/>
    </row>
    <row r="2283" spans="2:7" ht="12.75">
      <c r="B2283" s="5"/>
      <c r="C2283" s="23" t="s">
        <v>77</v>
      </c>
      <c r="D2283" s="35">
        <v>32302.96</v>
      </c>
      <c r="E2283" s="25"/>
      <c r="F2283" s="25"/>
      <c r="G2283" s="13"/>
    </row>
    <row r="2284" spans="2:7" ht="12.75">
      <c r="B2284" s="5"/>
      <c r="C2284" s="36" t="s">
        <v>13</v>
      </c>
      <c r="D2284" s="33">
        <f>D2283-D2282</f>
        <v>-6187.1600000000035</v>
      </c>
      <c r="E2284" s="25"/>
      <c r="F2284" s="25"/>
      <c r="G2284" s="13"/>
    </row>
    <row r="2285" spans="2:7" ht="12.75">
      <c r="B2285" s="5"/>
      <c r="C2285" s="34" t="s">
        <v>42</v>
      </c>
      <c r="D2285" s="35">
        <v>9410.07</v>
      </c>
      <c r="E2285" s="25"/>
      <c r="F2285" s="25"/>
      <c r="G2285" s="13"/>
    </row>
    <row r="2286" spans="2:7" ht="12.75">
      <c r="B2286" s="5"/>
      <c r="C2286" s="23" t="s">
        <v>43</v>
      </c>
      <c r="D2286" s="35">
        <v>8559.86</v>
      </c>
      <c r="E2286" s="25"/>
      <c r="F2286" s="25"/>
      <c r="G2286" s="13"/>
    </row>
    <row r="2287" spans="2:7" ht="12.75">
      <c r="B2287" s="5"/>
      <c r="C2287" s="36" t="s">
        <v>13</v>
      </c>
      <c r="D2287" s="33">
        <f>D2286-D2285</f>
        <v>-850.2099999999991</v>
      </c>
      <c r="E2287" s="25"/>
      <c r="F2287" s="25"/>
      <c r="G2287" s="13"/>
    </row>
    <row r="2288" spans="2:7" ht="12.75">
      <c r="B2288" s="11"/>
      <c r="C2288" s="36" t="s">
        <v>35</v>
      </c>
      <c r="D2288" s="50">
        <f>D2281+D2284+D2287+D2278</f>
        <v>-23178.039999999997</v>
      </c>
      <c r="E2288" s="25"/>
      <c r="F2288" s="25"/>
      <c r="G2288" s="13"/>
    </row>
    <row r="2289" spans="2:7" ht="12.75">
      <c r="B2289" s="11"/>
      <c r="C2289" s="11"/>
      <c r="D2289" s="27"/>
      <c r="E2289" s="25"/>
      <c r="F2289" s="25"/>
      <c r="G2289" s="13"/>
    </row>
    <row r="2290" spans="2:7" ht="12.75">
      <c r="B2290" s="11"/>
      <c r="C2290" s="14" t="s">
        <v>58</v>
      </c>
      <c r="D2290" s="27" t="s">
        <v>37</v>
      </c>
      <c r="E2290" s="25"/>
      <c r="F2290" s="24">
        <v>129.01</v>
      </c>
      <c r="G2290" s="13"/>
    </row>
    <row r="2291" spans="2:7" ht="12.75">
      <c r="B2291" s="5"/>
      <c r="C2291" s="14" t="s">
        <v>127</v>
      </c>
      <c r="D2291" s="13"/>
      <c r="E2291" s="13"/>
      <c r="F2291" s="37">
        <v>67.5</v>
      </c>
      <c r="G2291" s="13"/>
    </row>
    <row r="2292" spans="2:7" ht="12.75">
      <c r="B2292" s="23" t="s">
        <v>39</v>
      </c>
      <c r="C2292" s="23"/>
      <c r="D2292" s="23"/>
      <c r="E2292" s="23"/>
      <c r="F2292" s="23"/>
      <c r="G2292" s="23"/>
    </row>
    <row r="2293" spans="2:4" ht="12.75">
      <c r="B2293" s="29"/>
      <c r="C2293" s="39"/>
      <c r="D2293" s="54"/>
    </row>
    <row r="2294" spans="2:4" ht="12.75">
      <c r="B2294" s="40"/>
      <c r="C2294" s="40"/>
      <c r="D2294" s="54"/>
    </row>
    <row r="2295" spans="2:7" ht="12.75">
      <c r="B2295" s="1" t="s">
        <v>0</v>
      </c>
      <c r="C2295" s="1"/>
      <c r="D2295" s="1"/>
      <c r="E2295" s="1"/>
      <c r="F2295" s="1"/>
      <c r="G2295" s="1"/>
    </row>
    <row r="2296" spans="2:7" ht="12.75">
      <c r="B2296" s="1" t="s">
        <v>51</v>
      </c>
      <c r="C2296" s="1"/>
      <c r="D2296" s="1"/>
      <c r="E2296" s="1"/>
      <c r="F2296" s="1"/>
      <c r="G2296" s="1"/>
    </row>
    <row r="2297" spans="2:7" ht="12.75">
      <c r="B2297" s="1" t="s">
        <v>144</v>
      </c>
      <c r="C2297" s="1"/>
      <c r="D2297" s="1"/>
      <c r="E2297" s="1"/>
      <c r="F2297" s="1"/>
      <c r="G2297" s="1"/>
    </row>
    <row r="2298" spans="2:7" ht="12.75" customHeight="1">
      <c r="B2298" s="2"/>
      <c r="C2298" s="2" t="s">
        <v>3</v>
      </c>
      <c r="D2298" s="3" t="s">
        <v>41</v>
      </c>
      <c r="E2298" s="3"/>
      <c r="F2298" s="4" t="s">
        <v>109</v>
      </c>
      <c r="G2298" s="4"/>
    </row>
    <row r="2299" spans="2:7" ht="12.75">
      <c r="B2299" s="2"/>
      <c r="C2299" s="2"/>
      <c r="D2299" s="3" t="s">
        <v>6</v>
      </c>
      <c r="E2299" s="3" t="s">
        <v>7</v>
      </c>
      <c r="F2299" s="3" t="s">
        <v>6</v>
      </c>
      <c r="G2299" s="3" t="s">
        <v>8</v>
      </c>
    </row>
    <row r="2300" spans="2:7" ht="12.75">
      <c r="B2300" s="5">
        <v>1</v>
      </c>
      <c r="C2300" s="6" t="s">
        <v>9</v>
      </c>
      <c r="D2300" s="13">
        <v>3709</v>
      </c>
      <c r="E2300" s="13"/>
      <c r="F2300" s="13">
        <v>3709</v>
      </c>
      <c r="G2300" s="13"/>
    </row>
    <row r="2301" spans="2:7" ht="12.75">
      <c r="B2301" s="5">
        <v>2</v>
      </c>
      <c r="C2301" s="7" t="s">
        <v>145</v>
      </c>
      <c r="D2301" s="8"/>
      <c r="E2301" s="8"/>
      <c r="F2301" s="8" t="s">
        <v>3</v>
      </c>
      <c r="G2301" s="8"/>
    </row>
    <row r="2302" spans="2:7" ht="12.75">
      <c r="B2302" s="5"/>
      <c r="C2302" s="20" t="s">
        <v>11</v>
      </c>
      <c r="D2302" s="9"/>
      <c r="E2302" s="9"/>
      <c r="F2302" s="9">
        <v>912411.61</v>
      </c>
      <c r="G2302" s="9"/>
    </row>
    <row r="2303" spans="2:7" ht="12.75">
      <c r="B2303" s="5"/>
      <c r="C2303" s="34" t="s">
        <v>146</v>
      </c>
      <c r="D2303" s="9"/>
      <c r="E2303" s="9"/>
      <c r="F2303" s="9">
        <v>794900.22</v>
      </c>
      <c r="G2303" s="9"/>
    </row>
    <row r="2304" spans="2:7" ht="12.75">
      <c r="B2304" s="5"/>
      <c r="C2304" s="2" t="s">
        <v>13</v>
      </c>
      <c r="D2304" s="9"/>
      <c r="E2304" s="9"/>
      <c r="F2304" s="9">
        <f>F2303-F2302</f>
        <v>-117511.39000000001</v>
      </c>
      <c r="G2304" s="9"/>
    </row>
    <row r="2305" spans="2:7" ht="12.75">
      <c r="B2305" s="5">
        <v>3</v>
      </c>
      <c r="C2305" s="10" t="s">
        <v>14</v>
      </c>
      <c r="D2305" s="1" t="s">
        <v>15</v>
      </c>
      <c r="E2305" s="1"/>
      <c r="F2305" s="1" t="s">
        <v>15</v>
      </c>
      <c r="G2305" s="1"/>
    </row>
    <row r="2306" spans="2:7" ht="12.75">
      <c r="B2306" s="11" t="s">
        <v>16</v>
      </c>
      <c r="C2306" s="11"/>
      <c r="D2306" s="13">
        <v>118</v>
      </c>
      <c r="E2306" s="13">
        <f>D2306/3709/12*1000</f>
        <v>2.6512087714568167</v>
      </c>
      <c r="F2306" s="13">
        <v>123.18</v>
      </c>
      <c r="G2306" s="13">
        <f>F2306/3784.9/12*1000</f>
        <v>2.712092789769875</v>
      </c>
    </row>
    <row r="2307" spans="2:7" ht="12.75" customHeight="1">
      <c r="B2307" s="14" t="s">
        <v>17</v>
      </c>
      <c r="C2307" s="14"/>
      <c r="D2307" s="1">
        <f>D2308+D2309+D2310</f>
        <v>235.29999999999998</v>
      </c>
      <c r="E2307" s="13">
        <f>D2307/3709/12*1000</f>
        <v>5.286690033252449</v>
      </c>
      <c r="F2307" s="12">
        <f>F2308+F2309+F2310</f>
        <v>316.64</v>
      </c>
      <c r="G2307" s="13">
        <f>F2307/3784.9/12*1000</f>
        <v>6.9715624367002205</v>
      </c>
    </row>
    <row r="2308" spans="2:7" ht="12.75">
      <c r="B2308" s="2"/>
      <c r="C2308" s="15" t="s">
        <v>18</v>
      </c>
      <c r="D2308" s="9">
        <v>197.7</v>
      </c>
      <c r="E2308" s="13">
        <f>D2308/3709/12*1000</f>
        <v>4.441898085737395</v>
      </c>
      <c r="F2308" s="9">
        <f>72.67+3.47+121.6</f>
        <v>197.74</v>
      </c>
      <c r="G2308" s="13">
        <f>F2308/3784.9/12*1000</f>
        <v>4.353703752631069</v>
      </c>
    </row>
    <row r="2309" spans="2:7" ht="12.75">
      <c r="B2309" s="2"/>
      <c r="C2309" s="15" t="s">
        <v>19</v>
      </c>
      <c r="D2309" s="18">
        <v>37.6</v>
      </c>
      <c r="E2309" s="13">
        <f>D2309/3709/12*1000</f>
        <v>0.8447919475150535</v>
      </c>
      <c r="F2309" s="45">
        <v>111.9</v>
      </c>
      <c r="G2309" s="13">
        <f>F2309/3784.9/12*1000</f>
        <v>2.4637374831567542</v>
      </c>
    </row>
    <row r="2310" spans="2:7" ht="12.75">
      <c r="B2310" s="32" t="s">
        <v>20</v>
      </c>
      <c r="C2310" s="32"/>
      <c r="D2310" s="18">
        <v>0</v>
      </c>
      <c r="E2310" s="13">
        <f>D2310/3709/12*1000</f>
        <v>0</v>
      </c>
      <c r="F2310" s="18">
        <v>7</v>
      </c>
      <c r="G2310" s="13">
        <f>F2310/3784.9/12*1000</f>
        <v>0.15412120091239748</v>
      </c>
    </row>
    <row r="2311" spans="2:7" ht="12.75" customHeight="1">
      <c r="B2311" s="19" t="s">
        <v>21</v>
      </c>
      <c r="C2311" s="19"/>
      <c r="D2311" s="13">
        <f>D2312+D2314+D2313</f>
        <v>277.9</v>
      </c>
      <c r="E2311" s="13">
        <f>D2311/3709/12*1000</f>
        <v>6.243821335490248</v>
      </c>
      <c r="F2311" s="13">
        <f>F2312+F2314+F2313</f>
        <v>277.66999999999996</v>
      </c>
      <c r="G2311" s="13">
        <f>F2311/3784.9/12*1000</f>
        <v>6.1135476939064874</v>
      </c>
    </row>
    <row r="2312" spans="2:7" ht="12.75">
      <c r="B2312" s="2"/>
      <c r="C2312" s="15" t="s">
        <v>22</v>
      </c>
      <c r="D2312" s="9">
        <v>233</v>
      </c>
      <c r="E2312" s="13">
        <f>D2312/3709/12*1000</f>
        <v>5.235013930079986</v>
      </c>
      <c r="F2312" s="8">
        <f>169.72+51.76+7.42+22.9+3.08+3.27+6.26+0.39+2.66</f>
        <v>267.46</v>
      </c>
      <c r="G2312" s="13">
        <f>F2312/3784.9/12*1000</f>
        <v>5.888750913718548</v>
      </c>
    </row>
    <row r="2313" spans="2:7" ht="12.75">
      <c r="B2313" s="2"/>
      <c r="C2313" s="15" t="s">
        <v>23</v>
      </c>
      <c r="D2313" s="9">
        <v>41.4</v>
      </c>
      <c r="E2313" s="13">
        <f>D2313/3709/12*1000</f>
        <v>0.9301698571043407</v>
      </c>
      <c r="F2313" s="9">
        <v>8.57</v>
      </c>
      <c r="G2313" s="13">
        <f>F2313/3784.9/12*1000</f>
        <v>0.18868838454560666</v>
      </c>
    </row>
    <row r="2314" spans="2:7" ht="12.75">
      <c r="B2314" s="2"/>
      <c r="C2314" s="20" t="s">
        <v>24</v>
      </c>
      <c r="D2314" s="9">
        <v>3.5</v>
      </c>
      <c r="E2314" s="13">
        <f>D2314/3709/12*1000</f>
        <v>0.07863754830592252</v>
      </c>
      <c r="F2314" s="9">
        <v>1.64</v>
      </c>
      <c r="G2314" s="13">
        <f>F2314/3784.9/12*1000</f>
        <v>0.03610839564233313</v>
      </c>
    </row>
    <row r="2315" spans="2:7" ht="12.75">
      <c r="B2315" s="11" t="s">
        <v>25</v>
      </c>
      <c r="C2315" s="11"/>
      <c r="D2315" s="13">
        <v>26.3</v>
      </c>
      <c r="E2315" s="13">
        <f>D2315/3709/12*1000</f>
        <v>0.5909050058416465</v>
      </c>
      <c r="F2315" s="13">
        <v>23.77</v>
      </c>
      <c r="G2315" s="13">
        <f>F2315/3784.9/12*1000</f>
        <v>0.5233515636696697</v>
      </c>
    </row>
    <row r="2316" spans="2:7" ht="12.75">
      <c r="B2316" s="21" t="s">
        <v>26</v>
      </c>
      <c r="C2316" s="21"/>
      <c r="D2316" s="13">
        <v>137.5</v>
      </c>
      <c r="E2316" s="13">
        <f>D2316/3709/12*1000</f>
        <v>3.0893322548755284</v>
      </c>
      <c r="F2316" s="1">
        <f>25.43+116.73</f>
        <v>142.16</v>
      </c>
      <c r="G2316" s="13">
        <f>F2316/3784.9/12*1000</f>
        <v>3.1299814173866327</v>
      </c>
    </row>
    <row r="2317" spans="2:7" ht="12.75">
      <c r="B2317" s="21"/>
      <c r="C2317" s="22" t="s">
        <v>27</v>
      </c>
      <c r="D2317" s="13">
        <v>0</v>
      </c>
      <c r="E2317" s="13">
        <f>D2317/3709/12*1000</f>
        <v>0</v>
      </c>
      <c r="F2317" s="1">
        <v>66.31</v>
      </c>
      <c r="G2317" s="13">
        <f>F2317/3784.9/12*1000</f>
        <v>1.4599681189287255</v>
      </c>
    </row>
    <row r="2318" spans="2:7" ht="12.75">
      <c r="B2318" s="2"/>
      <c r="C2318" s="10" t="s">
        <v>28</v>
      </c>
      <c r="D2318" s="12">
        <f>D2306+D2307+D2311+D2315+D2316</f>
        <v>794.9999999999999</v>
      </c>
      <c r="E2318" s="12">
        <f>E2306+E2307+E2311+E2315+E2316</f>
        <v>17.861957400916687</v>
      </c>
      <c r="F2318" s="12">
        <f>F2306+F2307+F2311+F2315+F2316+F2317</f>
        <v>949.73</v>
      </c>
      <c r="G2318" s="13">
        <f>G2306+G2307+G2311+G2315+G2316+G2317</f>
        <v>20.91050402036161</v>
      </c>
    </row>
    <row r="2319" spans="2:7" ht="12.75">
      <c r="B2319" s="2">
        <v>4</v>
      </c>
      <c r="C2319" s="10" t="s">
        <v>29</v>
      </c>
      <c r="D2319" s="13">
        <v>79.5</v>
      </c>
      <c r="E2319" s="13">
        <v>1.79</v>
      </c>
      <c r="F2319" s="12"/>
      <c r="G2319" s="12"/>
    </row>
    <row r="2320" spans="2:7" ht="12.75">
      <c r="B2320" s="5">
        <v>5</v>
      </c>
      <c r="C2320" s="10" t="s">
        <v>13</v>
      </c>
      <c r="D2320" s="13">
        <f>D2318+D2319</f>
        <v>874.4999999999999</v>
      </c>
      <c r="E2320" s="13">
        <f>E2318+E2319</f>
        <v>19.651957400916686</v>
      </c>
      <c r="F2320" s="13">
        <f>F2318-F2303/1000</f>
        <v>154.82978000000003</v>
      </c>
      <c r="G2320" s="13"/>
    </row>
    <row r="2321" spans="2:7" ht="12.75">
      <c r="B2321" s="5"/>
      <c r="C2321" s="10"/>
      <c r="D2321" s="13"/>
      <c r="E2321" s="13"/>
      <c r="F2321" s="13"/>
      <c r="G2321" s="13"/>
    </row>
    <row r="2322" spans="2:7" ht="12.75">
      <c r="B2322" s="11" t="s">
        <v>30</v>
      </c>
      <c r="C2322" s="11"/>
      <c r="D2322" s="33" t="s">
        <v>6</v>
      </c>
      <c r="E2322" s="25"/>
      <c r="F2322" s="25"/>
      <c r="G2322" s="13"/>
    </row>
    <row r="2323" spans="2:7" ht="12.75">
      <c r="B2323" s="25"/>
      <c r="C2323" s="34" t="s">
        <v>31</v>
      </c>
      <c r="D2323" s="35">
        <v>14571.95</v>
      </c>
      <c r="E2323" s="25"/>
      <c r="F2323" s="25"/>
      <c r="G2323" s="13"/>
    </row>
    <row r="2324" spans="2:7" ht="12.75">
      <c r="B2324" s="5"/>
      <c r="C2324" s="23" t="s">
        <v>32</v>
      </c>
      <c r="D2324" s="35">
        <v>11918.14</v>
      </c>
      <c r="E2324" s="25"/>
      <c r="F2324" s="25"/>
      <c r="G2324" s="13"/>
    </row>
    <row r="2325" spans="2:7" ht="12.75">
      <c r="B2325" s="5"/>
      <c r="C2325" s="36" t="s">
        <v>13</v>
      </c>
      <c r="D2325" s="33">
        <f>D2324-D2323</f>
        <v>-2653.8100000000013</v>
      </c>
      <c r="E2325" s="25"/>
      <c r="F2325" s="25"/>
      <c r="G2325" s="13"/>
    </row>
    <row r="2326" spans="2:7" ht="12.75">
      <c r="B2326" s="5"/>
      <c r="C2326" s="34" t="s">
        <v>33</v>
      </c>
      <c r="D2326" s="35">
        <v>16161.55</v>
      </c>
      <c r="E2326" s="25"/>
      <c r="F2326" s="25"/>
      <c r="G2326" s="13"/>
    </row>
    <row r="2327" spans="2:7" ht="12.75">
      <c r="B2327" s="5"/>
      <c r="C2327" s="23" t="s">
        <v>34</v>
      </c>
      <c r="D2327" s="35">
        <v>13173.86</v>
      </c>
      <c r="E2327" s="25"/>
      <c r="F2327" s="25"/>
      <c r="G2327" s="13"/>
    </row>
    <row r="2328" spans="2:7" ht="12.75">
      <c r="B2328" s="5"/>
      <c r="C2328" s="36" t="s">
        <v>13</v>
      </c>
      <c r="D2328" s="33">
        <f>D2327-D2326</f>
        <v>-2987.6899999999987</v>
      </c>
      <c r="E2328" s="25"/>
      <c r="F2328" s="25"/>
      <c r="G2328" s="13"/>
    </row>
    <row r="2329" spans="2:7" ht="12.75">
      <c r="B2329" s="5"/>
      <c r="C2329" s="34" t="s">
        <v>42</v>
      </c>
      <c r="D2329" s="35">
        <v>24829.13</v>
      </c>
      <c r="E2329" s="25"/>
      <c r="F2329" s="25"/>
      <c r="G2329" s="13"/>
    </row>
    <row r="2330" spans="2:7" ht="12.75">
      <c r="B2330" s="5"/>
      <c r="C2330" s="23" t="s">
        <v>43</v>
      </c>
      <c r="D2330" s="35">
        <v>16307.95</v>
      </c>
      <c r="E2330" s="25"/>
      <c r="F2330" s="25"/>
      <c r="G2330" s="13"/>
    </row>
    <row r="2331" spans="2:7" ht="12.75">
      <c r="B2331" s="5"/>
      <c r="C2331" s="36" t="s">
        <v>13</v>
      </c>
      <c r="D2331" s="33">
        <f>D2330-D2329</f>
        <v>-8521.18</v>
      </c>
      <c r="E2331" s="25"/>
      <c r="F2331" s="25"/>
      <c r="G2331" s="13"/>
    </row>
    <row r="2332" spans="2:7" ht="12.75">
      <c r="B2332" s="11"/>
      <c r="C2332" s="36" t="s">
        <v>35</v>
      </c>
      <c r="D2332" s="50">
        <f>D2325+D2328+D2331</f>
        <v>-14162.68</v>
      </c>
      <c r="E2332" s="25"/>
      <c r="F2332" s="25"/>
      <c r="G2332" s="13"/>
    </row>
    <row r="2333" spans="2:7" ht="12.75">
      <c r="B2333" s="11"/>
      <c r="C2333" s="11"/>
      <c r="D2333" s="27"/>
      <c r="E2333" s="25"/>
      <c r="F2333" s="25"/>
      <c r="G2333" s="13"/>
    </row>
    <row r="2334" spans="2:7" ht="12.75">
      <c r="B2334" s="11"/>
      <c r="C2334" s="14" t="s">
        <v>44</v>
      </c>
      <c r="D2334" s="27" t="s">
        <v>37</v>
      </c>
      <c r="E2334" s="25"/>
      <c r="F2334" s="47">
        <v>169</v>
      </c>
      <c r="G2334" s="13"/>
    </row>
    <row r="2335" spans="2:7" ht="12.75">
      <c r="B2335" s="5"/>
      <c r="C2335" s="14" t="s">
        <v>147</v>
      </c>
      <c r="D2335" s="13"/>
      <c r="E2335" s="13"/>
      <c r="F2335" s="37">
        <v>-200</v>
      </c>
      <c r="G2335" s="13"/>
    </row>
    <row r="2336" spans="2:7" ht="12.75">
      <c r="B2336" s="23" t="s">
        <v>39</v>
      </c>
      <c r="C2336" s="23"/>
      <c r="D2336" s="23"/>
      <c r="E2336" s="23"/>
      <c r="F2336" s="23"/>
      <c r="G2336" s="23"/>
    </row>
    <row r="2338" spans="2:7" ht="12.75">
      <c r="B2338" s="1" t="s">
        <v>0</v>
      </c>
      <c r="C2338" s="1"/>
      <c r="D2338" s="1"/>
      <c r="E2338" s="1"/>
      <c r="F2338" s="1"/>
      <c r="G2338" s="1"/>
    </row>
    <row r="2339" spans="2:7" ht="12.75">
      <c r="B2339" s="1" t="s">
        <v>51</v>
      </c>
      <c r="C2339" s="1"/>
      <c r="D2339" s="1"/>
      <c r="E2339" s="1"/>
      <c r="F2339" s="1"/>
      <c r="G2339" s="1"/>
    </row>
    <row r="2340" spans="2:7" ht="12.75">
      <c r="B2340" s="1" t="s">
        <v>148</v>
      </c>
      <c r="C2340" s="1"/>
      <c r="D2340" s="1"/>
      <c r="E2340" s="1"/>
      <c r="F2340" s="1"/>
      <c r="G2340" s="1"/>
    </row>
    <row r="2341" spans="2:7" ht="12.75" customHeight="1">
      <c r="B2341" s="2"/>
      <c r="C2341" s="2" t="s">
        <v>3</v>
      </c>
      <c r="D2341" s="3" t="s">
        <v>41</v>
      </c>
      <c r="E2341" s="3"/>
      <c r="F2341" s="4" t="s">
        <v>109</v>
      </c>
      <c r="G2341" s="4"/>
    </row>
    <row r="2342" spans="2:7" ht="12.75">
      <c r="B2342" s="2"/>
      <c r="C2342" s="2"/>
      <c r="D2342" s="3" t="s">
        <v>6</v>
      </c>
      <c r="E2342" s="3" t="s">
        <v>7</v>
      </c>
      <c r="F2342" s="3" t="s">
        <v>6</v>
      </c>
      <c r="G2342" s="3" t="s">
        <v>8</v>
      </c>
    </row>
    <row r="2343" spans="2:7" ht="12.75">
      <c r="B2343" s="5">
        <v>1</v>
      </c>
      <c r="C2343" s="6" t="s">
        <v>9</v>
      </c>
      <c r="D2343" s="13">
        <v>3165.8</v>
      </c>
      <c r="E2343" s="13"/>
      <c r="F2343" s="13">
        <v>3165.8</v>
      </c>
      <c r="G2343" s="13"/>
    </row>
    <row r="2344" spans="2:7" ht="12.75">
      <c r="B2344" s="5">
        <v>2</v>
      </c>
      <c r="C2344" s="7" t="s">
        <v>145</v>
      </c>
      <c r="D2344" s="8"/>
      <c r="E2344" s="8"/>
      <c r="F2344" s="8" t="s">
        <v>3</v>
      </c>
      <c r="G2344" s="8"/>
    </row>
    <row r="2345" spans="2:7" ht="12.75">
      <c r="B2345" s="5"/>
      <c r="C2345" s="20" t="s">
        <v>11</v>
      </c>
      <c r="D2345" s="9"/>
      <c r="E2345" s="9"/>
      <c r="F2345" s="9">
        <v>933366.62</v>
      </c>
      <c r="G2345" s="9"/>
    </row>
    <row r="2346" spans="2:7" ht="12.75">
      <c r="B2346" s="5"/>
      <c r="C2346" s="34" t="s">
        <v>146</v>
      </c>
      <c r="D2346" s="9"/>
      <c r="E2346" s="9"/>
      <c r="F2346" s="9">
        <v>940750.11</v>
      </c>
      <c r="G2346" s="9"/>
    </row>
    <row r="2347" spans="2:7" ht="12.75">
      <c r="B2347" s="5"/>
      <c r="C2347" s="2" t="s">
        <v>13</v>
      </c>
      <c r="D2347" s="9"/>
      <c r="E2347" s="9"/>
      <c r="F2347" s="9">
        <f>F2346-F2345</f>
        <v>7383.489999999991</v>
      </c>
      <c r="G2347" s="9"/>
    </row>
    <row r="2348" spans="2:7" ht="12.75">
      <c r="B2348" s="5">
        <v>3</v>
      </c>
      <c r="C2348" s="10" t="s">
        <v>14</v>
      </c>
      <c r="D2348" s="1" t="s">
        <v>15</v>
      </c>
      <c r="E2348" s="1"/>
      <c r="F2348" s="1" t="s">
        <v>15</v>
      </c>
      <c r="G2348" s="1"/>
    </row>
    <row r="2349" spans="2:7" ht="12.75">
      <c r="B2349" s="11" t="s">
        <v>16</v>
      </c>
      <c r="C2349" s="11"/>
      <c r="D2349" s="13">
        <v>102.95</v>
      </c>
      <c r="E2349" s="13">
        <f>D2349/3165.8/12*1000</f>
        <v>2.7099521974435112</v>
      </c>
      <c r="F2349" s="13">
        <v>126</v>
      </c>
      <c r="G2349" s="13">
        <f>F2349/3165.8/12*1000</f>
        <v>3.3166972013393137</v>
      </c>
    </row>
    <row r="2350" spans="2:7" ht="12.75" customHeight="1">
      <c r="B2350" s="14" t="s">
        <v>17</v>
      </c>
      <c r="C2350" s="14"/>
      <c r="D2350" s="1">
        <f>D2351+D2352+D2353</f>
        <v>213.1</v>
      </c>
      <c r="E2350" s="13">
        <f>D2350/3165.8/12*1000</f>
        <v>5.609429949249268</v>
      </c>
      <c r="F2350" s="12">
        <f>F2351+F2352+F2353</f>
        <v>525.31</v>
      </c>
      <c r="G2350" s="13">
        <f>F2350/3165.8/12*1000</f>
        <v>13.827731800282182</v>
      </c>
    </row>
    <row r="2351" spans="2:7" ht="12.75">
      <c r="B2351" s="2"/>
      <c r="C2351" s="15" t="s">
        <v>18</v>
      </c>
      <c r="D2351" s="9">
        <v>165.2</v>
      </c>
      <c r="E2351" s="13">
        <f>D2351/3165.8/12*1000</f>
        <v>4.3485585528671</v>
      </c>
      <c r="F2351" s="9">
        <f>60.73+14.58+101.6</f>
        <v>176.91</v>
      </c>
      <c r="G2351" s="13">
        <f>F2351/3165.8/12*1000</f>
        <v>4.656800808642365</v>
      </c>
    </row>
    <row r="2352" spans="2:7" ht="12.75">
      <c r="B2352" s="2"/>
      <c r="C2352" s="15" t="s">
        <v>19</v>
      </c>
      <c r="D2352" s="18">
        <v>47.9</v>
      </c>
      <c r="E2352" s="13">
        <f>D2352/3165.8/12*1000</f>
        <v>1.2608713963821676</v>
      </c>
      <c r="F2352" s="45">
        <v>340</v>
      </c>
      <c r="G2352" s="13">
        <f>F2352/3165.8/12*1000</f>
        <v>8.949817844883862</v>
      </c>
    </row>
    <row r="2353" spans="2:7" ht="12.75">
      <c r="B2353" s="32" t="s">
        <v>20</v>
      </c>
      <c r="C2353" s="32"/>
      <c r="D2353" s="18">
        <v>0</v>
      </c>
      <c r="E2353" s="13">
        <f>D2353/3165.8/12*1000</f>
        <v>0</v>
      </c>
      <c r="F2353" s="18">
        <v>8.4</v>
      </c>
      <c r="G2353" s="13">
        <f>F2353/3165.8/12*1000</f>
        <v>0.22111314675595425</v>
      </c>
    </row>
    <row r="2354" spans="2:7" ht="12.75" customHeight="1">
      <c r="B2354" s="19" t="s">
        <v>21</v>
      </c>
      <c r="C2354" s="19"/>
      <c r="D2354" s="13">
        <f>D2355+D2357+D2356</f>
        <v>237.43</v>
      </c>
      <c r="E2354" s="13">
        <f>D2354/3165.8/12*1000</f>
        <v>6.249868385031693</v>
      </c>
      <c r="F2354" s="13">
        <f>F2355+F2357+F2356</f>
        <v>235.49999999999997</v>
      </c>
      <c r="G2354" s="13">
        <f>F2354/3165.8/12*1000</f>
        <v>6.199065007265144</v>
      </c>
    </row>
    <row r="2355" spans="2:7" ht="12.75">
      <c r="B2355" s="2"/>
      <c r="C2355" s="15" t="s">
        <v>22</v>
      </c>
      <c r="D2355" s="9">
        <v>199.06</v>
      </c>
      <c r="E2355" s="13">
        <f>D2355/3165.8/12*1000</f>
        <v>5.239855118242887</v>
      </c>
      <c r="F2355" s="8">
        <f>141.8+43.26+6.2+19.13+2.58+3.45+6.4+0.32+2.22</f>
        <v>225.35999999999999</v>
      </c>
      <c r="G2355" s="13">
        <f>F2355/3165.8/12*1000</f>
        <v>5.932149851538316</v>
      </c>
    </row>
    <row r="2356" spans="2:7" ht="12.75">
      <c r="B2356" s="2"/>
      <c r="C2356" s="15" t="s">
        <v>23</v>
      </c>
      <c r="D2356" s="9">
        <v>35.33</v>
      </c>
      <c r="E2356" s="13">
        <f>D2356/3165.8/12*1000</f>
        <v>0.929991366058079</v>
      </c>
      <c r="F2356" s="9">
        <v>8.5</v>
      </c>
      <c r="G2356" s="13">
        <f>F2356/3165.8/12*1000</f>
        <v>0.22374544612209657</v>
      </c>
    </row>
    <row r="2357" spans="2:7" ht="12.75">
      <c r="B2357" s="2"/>
      <c r="C2357" s="20" t="s">
        <v>24</v>
      </c>
      <c r="D2357" s="9">
        <v>3.04</v>
      </c>
      <c r="E2357" s="13">
        <f>D2357/3165.8/12*1000</f>
        <v>0.0800219007307263</v>
      </c>
      <c r="F2357" s="9">
        <v>1.64</v>
      </c>
      <c r="G2357" s="13">
        <f>F2357/3165.8/12*1000</f>
        <v>0.04316970960473393</v>
      </c>
    </row>
    <row r="2358" spans="2:7" ht="12.75">
      <c r="B2358" s="11" t="s">
        <v>25</v>
      </c>
      <c r="C2358" s="11"/>
      <c r="D2358" s="13">
        <v>22.41</v>
      </c>
      <c r="E2358" s="13">
        <f>D2358/3165.8/12*1000</f>
        <v>0.5898982879524922</v>
      </c>
      <c r="F2358" s="13">
        <v>28.15</v>
      </c>
      <c r="G2358" s="13">
        <f>F2358/3165.8/12*1000</f>
        <v>0.7409922715690609</v>
      </c>
    </row>
    <row r="2359" spans="2:7" ht="12.75">
      <c r="B2359" s="21" t="s">
        <v>26</v>
      </c>
      <c r="C2359" s="21"/>
      <c r="D2359" s="13">
        <v>117.4</v>
      </c>
      <c r="E2359" s="13">
        <f>D2359/3165.8/12*1000</f>
        <v>3.090319455851075</v>
      </c>
      <c r="F2359" s="1">
        <f>21.26+97.55</f>
        <v>118.81</v>
      </c>
      <c r="G2359" s="13">
        <f>F2359/3165.8/12*1000</f>
        <v>3.1274348769136813</v>
      </c>
    </row>
    <row r="2360" spans="2:7" ht="12.75">
      <c r="B2360" s="21"/>
      <c r="C2360" s="22" t="s">
        <v>27</v>
      </c>
      <c r="D2360" s="13">
        <v>0</v>
      </c>
      <c r="E2360" s="13">
        <v>0</v>
      </c>
      <c r="F2360" s="1">
        <v>21.27</v>
      </c>
      <c r="G2360" s="13">
        <f>F2360/3165.8/12*1000</f>
        <v>0.5598900751784699</v>
      </c>
    </row>
    <row r="2361" spans="2:7" ht="12.75">
      <c r="B2361" s="2"/>
      <c r="C2361" s="10" t="s">
        <v>28</v>
      </c>
      <c r="D2361" s="12">
        <f>D2349+D2350+D2354+D2358+D2359</f>
        <v>693.29</v>
      </c>
      <c r="E2361" s="12">
        <f>E2349+E2350+E2354+E2358+E2359</f>
        <v>18.249468275528038</v>
      </c>
      <c r="F2361" s="13">
        <f>F2349+F2350+F2354+F2358+F2359+F2360</f>
        <v>1055.04</v>
      </c>
      <c r="G2361" s="13">
        <f>G2349+G2350+G2354+G2358+G2359+G2360</f>
        <v>27.77181123254785</v>
      </c>
    </row>
    <row r="2362" spans="2:7" ht="12.75">
      <c r="B2362" s="2">
        <v>4</v>
      </c>
      <c r="C2362" s="10" t="s">
        <v>29</v>
      </c>
      <c r="D2362" s="13">
        <v>69.3</v>
      </c>
      <c r="E2362" s="12">
        <v>1.8</v>
      </c>
      <c r="F2362" s="12"/>
      <c r="G2362" s="12"/>
    </row>
    <row r="2363" spans="2:7" ht="12.75">
      <c r="B2363" s="5">
        <v>5</v>
      </c>
      <c r="C2363" s="10" t="s">
        <v>13</v>
      </c>
      <c r="D2363" s="13">
        <f>D2361+D2362</f>
        <v>762.5899999999999</v>
      </c>
      <c r="E2363" s="13">
        <f>E2361+E2362</f>
        <v>20.04946827552804</v>
      </c>
      <c r="F2363" s="13">
        <f>F2361-F2346/1000</f>
        <v>114.28989000000001</v>
      </c>
      <c r="G2363" s="13"/>
    </row>
    <row r="2364" spans="2:7" ht="12.75">
      <c r="B2364" s="5"/>
      <c r="C2364" s="10"/>
      <c r="D2364" s="13"/>
      <c r="E2364" s="13"/>
      <c r="F2364" s="13"/>
      <c r="G2364" s="13"/>
    </row>
    <row r="2365" spans="2:7" ht="12.75">
      <c r="B2365" s="11" t="s">
        <v>30</v>
      </c>
      <c r="C2365" s="11"/>
      <c r="D2365" s="33" t="s">
        <v>6</v>
      </c>
      <c r="E2365" s="25"/>
      <c r="F2365" s="25"/>
      <c r="G2365" s="13"/>
    </row>
    <row r="2366" spans="2:7" ht="12.75">
      <c r="B2366" s="25"/>
      <c r="C2366" s="34" t="s">
        <v>31</v>
      </c>
      <c r="D2366" s="35">
        <v>48560.59</v>
      </c>
      <c r="E2366" s="25"/>
      <c r="F2366" s="25"/>
      <c r="G2366" s="13"/>
    </row>
    <row r="2367" spans="2:7" ht="12.75">
      <c r="B2367" s="5"/>
      <c r="C2367" s="23" t="s">
        <v>32</v>
      </c>
      <c r="D2367" s="35">
        <v>44644.63</v>
      </c>
      <c r="E2367" s="25"/>
      <c r="F2367" s="25"/>
      <c r="G2367" s="13"/>
    </row>
    <row r="2368" spans="2:7" ht="12.75">
      <c r="B2368" s="5"/>
      <c r="C2368" s="36" t="s">
        <v>13</v>
      </c>
      <c r="D2368" s="33">
        <f>D2367-D2366</f>
        <v>-3915.959999999999</v>
      </c>
      <c r="E2368" s="25"/>
      <c r="F2368" s="25"/>
      <c r="G2368" s="13"/>
    </row>
    <row r="2369" spans="2:7" ht="12.75">
      <c r="B2369" s="5"/>
      <c r="C2369" s="34" t="s">
        <v>33</v>
      </c>
      <c r="D2369" s="35">
        <v>53748.72</v>
      </c>
      <c r="E2369" s="25"/>
      <c r="F2369" s="25"/>
      <c r="G2369" s="13"/>
    </row>
    <row r="2370" spans="2:7" ht="12.75">
      <c r="B2370" s="5"/>
      <c r="C2370" s="23" t="s">
        <v>34</v>
      </c>
      <c r="D2370" s="35">
        <v>48723.8</v>
      </c>
      <c r="E2370" s="25"/>
      <c r="F2370" s="25"/>
      <c r="G2370" s="13"/>
    </row>
    <row r="2371" spans="2:7" ht="12.75">
      <c r="B2371" s="5"/>
      <c r="C2371" s="36" t="s">
        <v>13</v>
      </c>
      <c r="D2371" s="33">
        <f>D2370-D2369</f>
        <v>-5024.919999999998</v>
      </c>
      <c r="E2371" s="25"/>
      <c r="F2371" s="25"/>
      <c r="G2371" s="13"/>
    </row>
    <row r="2372" spans="2:7" ht="12.75">
      <c r="B2372" s="5"/>
      <c r="C2372" s="34" t="s">
        <v>42</v>
      </c>
      <c r="D2372" s="35">
        <v>3954.7</v>
      </c>
      <c r="E2372" s="25"/>
      <c r="F2372" s="25"/>
      <c r="G2372" s="13"/>
    </row>
    <row r="2373" spans="2:7" ht="12.75">
      <c r="B2373" s="5"/>
      <c r="C2373" s="23" t="s">
        <v>43</v>
      </c>
      <c r="D2373" s="35">
        <v>2853.17</v>
      </c>
      <c r="E2373" s="25"/>
      <c r="F2373" s="25"/>
      <c r="G2373" s="13"/>
    </row>
    <row r="2374" spans="2:7" ht="12.75">
      <c r="B2374" s="5"/>
      <c r="C2374" s="36" t="s">
        <v>13</v>
      </c>
      <c r="D2374" s="33">
        <f>D2373-D2372</f>
        <v>-1101.5299999999997</v>
      </c>
      <c r="E2374" s="25"/>
      <c r="F2374" s="25"/>
      <c r="G2374" s="13"/>
    </row>
    <row r="2375" spans="2:7" ht="12.75">
      <c r="B2375" s="11"/>
      <c r="C2375" s="36" t="s">
        <v>35</v>
      </c>
      <c r="D2375" s="50">
        <f>D2368+D2371+D2374</f>
        <v>-10042.409999999996</v>
      </c>
      <c r="E2375" s="25"/>
      <c r="F2375" s="25"/>
      <c r="G2375" s="13"/>
    </row>
    <row r="2376" spans="2:7" ht="12.75">
      <c r="B2376" s="11"/>
      <c r="C2376" s="11"/>
      <c r="D2376" s="27"/>
      <c r="E2376" s="25"/>
      <c r="F2376" s="25"/>
      <c r="G2376" s="13"/>
    </row>
    <row r="2377" spans="2:7" ht="12.75">
      <c r="B2377" s="11"/>
      <c r="C2377" s="14" t="s">
        <v>44</v>
      </c>
      <c r="D2377" s="27" t="s">
        <v>37</v>
      </c>
      <c r="E2377" s="25"/>
      <c r="F2377" s="47">
        <v>124.3</v>
      </c>
      <c r="G2377" s="13"/>
    </row>
    <row r="2378" spans="2:7" ht="12.75">
      <c r="B2378" s="5"/>
      <c r="C2378" s="14" t="s">
        <v>147</v>
      </c>
      <c r="D2378" s="13"/>
      <c r="E2378" s="13"/>
      <c r="F2378" s="37">
        <v>-1.8</v>
      </c>
      <c r="G2378" s="13"/>
    </row>
    <row r="2379" spans="2:7" ht="12.75">
      <c r="B2379" s="23" t="s">
        <v>39</v>
      </c>
      <c r="C2379" s="23"/>
      <c r="D2379" s="23"/>
      <c r="E2379" s="23"/>
      <c r="F2379" s="23"/>
      <c r="G2379" s="23"/>
    </row>
    <row r="2381" spans="2:7" ht="12.75">
      <c r="B2381" s="1" t="s">
        <v>0</v>
      </c>
      <c r="C2381" s="1"/>
      <c r="D2381" s="1"/>
      <c r="E2381" s="1"/>
      <c r="F2381" s="1"/>
      <c r="G2381" s="1"/>
    </row>
    <row r="2382" spans="2:7" ht="12.75">
      <c r="B2382" s="1" t="s">
        <v>46</v>
      </c>
      <c r="C2382" s="1"/>
      <c r="D2382" s="1"/>
      <c r="E2382" s="1"/>
      <c r="F2382" s="1"/>
      <c r="G2382" s="1"/>
    </row>
    <row r="2383" spans="2:7" ht="12.75">
      <c r="B2383" s="1" t="s">
        <v>149</v>
      </c>
      <c r="C2383" s="1"/>
      <c r="D2383" s="1"/>
      <c r="E2383" s="1"/>
      <c r="F2383" s="1"/>
      <c r="G2383" s="1"/>
    </row>
    <row r="2384" spans="2:7" ht="12.75" customHeight="1">
      <c r="B2384" s="2"/>
      <c r="C2384" s="2" t="s">
        <v>3</v>
      </c>
      <c r="D2384" s="3" t="s">
        <v>41</v>
      </c>
      <c r="E2384" s="3"/>
      <c r="F2384" s="4" t="s">
        <v>109</v>
      </c>
      <c r="G2384" s="4"/>
    </row>
    <row r="2385" spans="2:7" ht="12.75">
      <c r="B2385" s="2"/>
      <c r="C2385" s="2"/>
      <c r="D2385" s="3" t="s">
        <v>6</v>
      </c>
      <c r="E2385" s="3" t="s">
        <v>7</v>
      </c>
      <c r="F2385" s="3" t="s">
        <v>6</v>
      </c>
      <c r="G2385" s="3" t="s">
        <v>8</v>
      </c>
    </row>
    <row r="2386" spans="2:7" ht="12.75">
      <c r="B2386" s="5">
        <v>1</v>
      </c>
      <c r="C2386" s="6" t="s">
        <v>9</v>
      </c>
      <c r="D2386" s="13">
        <v>2065.6</v>
      </c>
      <c r="E2386" s="13"/>
      <c r="F2386" s="13">
        <v>2065.6</v>
      </c>
      <c r="G2386" s="13"/>
    </row>
    <row r="2387" spans="2:7" ht="12.75">
      <c r="B2387" s="5">
        <v>2</v>
      </c>
      <c r="C2387" s="7" t="s">
        <v>145</v>
      </c>
      <c r="D2387" s="8"/>
      <c r="E2387" s="8"/>
      <c r="F2387" s="8" t="s">
        <v>3</v>
      </c>
      <c r="G2387" s="8"/>
    </row>
    <row r="2388" spans="2:7" ht="12.75">
      <c r="B2388" s="5"/>
      <c r="C2388" s="20" t="s">
        <v>11</v>
      </c>
      <c r="D2388" s="9"/>
      <c r="E2388" s="9"/>
      <c r="F2388" s="9">
        <v>545181.53</v>
      </c>
      <c r="G2388" s="9"/>
    </row>
    <row r="2389" spans="2:7" ht="12.75">
      <c r="B2389" s="5"/>
      <c r="C2389" s="34" t="s">
        <v>146</v>
      </c>
      <c r="D2389" s="9"/>
      <c r="E2389" s="9"/>
      <c r="F2389" s="9">
        <v>540372.79</v>
      </c>
      <c r="G2389" s="9"/>
    </row>
    <row r="2390" spans="2:7" ht="12.75">
      <c r="B2390" s="5"/>
      <c r="C2390" s="2" t="s">
        <v>13</v>
      </c>
      <c r="D2390" s="9"/>
      <c r="E2390" s="9"/>
      <c r="F2390" s="9">
        <f>F2389-F2388</f>
        <v>-4808.739999999991</v>
      </c>
      <c r="G2390" s="9"/>
    </row>
    <row r="2391" spans="2:7" ht="12.75">
      <c r="B2391" s="5">
        <v>3</v>
      </c>
      <c r="C2391" s="10" t="s">
        <v>14</v>
      </c>
      <c r="D2391" s="1" t="s">
        <v>15</v>
      </c>
      <c r="E2391" s="1"/>
      <c r="F2391" s="1" t="s">
        <v>15</v>
      </c>
      <c r="G2391" s="1"/>
    </row>
    <row r="2392" spans="2:7" ht="12.75">
      <c r="B2392" s="11" t="s">
        <v>16</v>
      </c>
      <c r="C2392" s="11"/>
      <c r="D2392" s="13">
        <v>67.17</v>
      </c>
      <c r="E2392" s="13">
        <f>D2392/2065.6/12*1000</f>
        <v>2.709866382649109</v>
      </c>
      <c r="F2392" s="13">
        <v>73.6</v>
      </c>
      <c r="G2392" s="13">
        <f>F2392/2065.6/12*1000</f>
        <v>2.969274464239607</v>
      </c>
    </row>
    <row r="2393" spans="2:7" ht="12.75" customHeight="1">
      <c r="B2393" s="14" t="s">
        <v>17</v>
      </c>
      <c r="C2393" s="14"/>
      <c r="D2393" s="1">
        <f>D2394+D2395+D2396</f>
        <v>139</v>
      </c>
      <c r="E2393" s="13">
        <f>D2393/2065.6/12*1000</f>
        <v>5.607733023495998</v>
      </c>
      <c r="F2393" s="12">
        <f>F2394+F2395+F2396</f>
        <v>165.32</v>
      </c>
      <c r="G2393" s="13">
        <f>F2393/2065.6/12*1000</f>
        <v>6.669571391686031</v>
      </c>
    </row>
    <row r="2394" spans="2:7" ht="12.75">
      <c r="B2394" s="2"/>
      <c r="C2394" s="15" t="s">
        <v>18</v>
      </c>
      <c r="D2394" s="9">
        <v>107.8</v>
      </c>
      <c r="E2394" s="13">
        <f>D2394/2065.6/12*1000</f>
        <v>4.349018848437904</v>
      </c>
      <c r="F2394" s="9">
        <f>39.66+1.9+66.36</f>
        <v>107.91999999999999</v>
      </c>
      <c r="G2394" s="13">
        <f>F2394/2065.6/12*1000</f>
        <v>4.353860056803512</v>
      </c>
    </row>
    <row r="2395" spans="2:7" ht="12.75">
      <c r="B2395" s="2"/>
      <c r="C2395" s="15" t="s">
        <v>19</v>
      </c>
      <c r="D2395" s="18">
        <v>31.2</v>
      </c>
      <c r="E2395" s="13">
        <f>D2395/2065.6/12*1000</f>
        <v>1.2587141750580946</v>
      </c>
      <c r="F2395" s="45">
        <v>57.4</v>
      </c>
      <c r="G2395" s="13">
        <f>F2395/2065.6/12*1000</f>
        <v>2.31571133488252</v>
      </c>
    </row>
    <row r="2396" spans="2:7" ht="12.75">
      <c r="B2396" s="32" t="s">
        <v>20</v>
      </c>
      <c r="C2396" s="32"/>
      <c r="D2396" s="18">
        <v>0</v>
      </c>
      <c r="E2396" s="13">
        <f>D2396/2065.6/12*1000</f>
        <v>0</v>
      </c>
      <c r="F2396" s="18">
        <v>0</v>
      </c>
      <c r="G2396" s="13">
        <f>F2396/2065.6/12*1000</f>
        <v>0</v>
      </c>
    </row>
    <row r="2397" spans="2:7" ht="12.75" customHeight="1">
      <c r="B2397" s="19" t="s">
        <v>21</v>
      </c>
      <c r="C2397" s="19"/>
      <c r="D2397" s="13">
        <f>D2398+D2400+D2399</f>
        <v>155.05</v>
      </c>
      <c r="E2397" s="13">
        <f>D2397/2065.6/12*1000</f>
        <v>6.255244642396076</v>
      </c>
      <c r="F2397" s="13">
        <f>F2398+F2400+F2399</f>
        <v>153.85999999999999</v>
      </c>
      <c r="G2397" s="13">
        <f>F2397/2065.6/12*1000</f>
        <v>6.207235992770461</v>
      </c>
    </row>
    <row r="2398" spans="2:7" ht="12.75">
      <c r="B2398" s="2"/>
      <c r="C2398" s="15" t="s">
        <v>22</v>
      </c>
      <c r="D2398" s="9">
        <v>130</v>
      </c>
      <c r="E2398" s="13">
        <f>D2398/2065.6/12*1000</f>
        <v>5.2446423960753945</v>
      </c>
      <c r="F2398" s="8">
        <f>92.6+28.3+4.05+12.5+1.68+2.08+5.13+0.2+1.45</f>
        <v>147.98999999999998</v>
      </c>
      <c r="G2398" s="13">
        <f>F2398/2065.6/12*1000</f>
        <v>5.970420216886135</v>
      </c>
    </row>
    <row r="2399" spans="2:7" ht="12.75">
      <c r="B2399" s="2"/>
      <c r="C2399" s="15" t="s">
        <v>23</v>
      </c>
      <c r="D2399" s="9">
        <v>23.05</v>
      </c>
      <c r="E2399" s="13">
        <f>D2399/2065.6/12*1000</f>
        <v>0.9299154402272141</v>
      </c>
      <c r="F2399" s="9">
        <v>4.87</v>
      </c>
      <c r="G2399" s="13">
        <f>F2399/2065.6/12*1000</f>
        <v>0.1964723728375936</v>
      </c>
    </row>
    <row r="2400" spans="2:7" ht="12.75">
      <c r="B2400" s="2"/>
      <c r="C2400" s="20" t="s">
        <v>24</v>
      </c>
      <c r="D2400" s="9">
        <v>2</v>
      </c>
      <c r="E2400" s="13">
        <f>D2400/2065.6/12*1000</f>
        <v>0.08068680609346761</v>
      </c>
      <c r="F2400" s="9">
        <v>1</v>
      </c>
      <c r="G2400" s="13">
        <f>F2400/2065.6/12*1000</f>
        <v>0.040343403046733804</v>
      </c>
    </row>
    <row r="2401" spans="2:7" ht="12.75">
      <c r="B2401" s="11" t="s">
        <v>25</v>
      </c>
      <c r="C2401" s="11"/>
      <c r="D2401" s="13">
        <v>14.62</v>
      </c>
      <c r="E2401" s="13">
        <f>D2401/2065.6/12*1000</f>
        <v>0.5898205525432482</v>
      </c>
      <c r="F2401" s="13">
        <v>16.14</v>
      </c>
      <c r="G2401" s="13">
        <f>F2401/2065.6/12*1000</f>
        <v>0.6511425251742835</v>
      </c>
    </row>
    <row r="2402" spans="2:7" ht="12.75">
      <c r="B2402" s="21" t="s">
        <v>26</v>
      </c>
      <c r="C2402" s="21"/>
      <c r="D2402" s="13">
        <v>76.6</v>
      </c>
      <c r="E2402" s="13">
        <f>D2402/2065.6/12*1000</f>
        <v>3.090304673379809</v>
      </c>
      <c r="F2402" s="1">
        <f>13.88+63.7</f>
        <v>77.58</v>
      </c>
      <c r="G2402" s="13">
        <f>F2402/2065.6/12*1000</f>
        <v>3.1298412083656078</v>
      </c>
    </row>
    <row r="2403" spans="2:7" ht="12.75">
      <c r="B2403" s="21"/>
      <c r="C2403" s="22" t="s">
        <v>27</v>
      </c>
      <c r="D2403" s="13">
        <v>0</v>
      </c>
      <c r="E2403" s="13">
        <f>D2403/2065.6/12*1000</f>
        <v>0</v>
      </c>
      <c r="F2403" s="1">
        <v>28.5</v>
      </c>
      <c r="G2403" s="13">
        <f>F2403/2065.6/12*1000</f>
        <v>1.1497869868319133</v>
      </c>
    </row>
    <row r="2404" spans="2:7" ht="12.75">
      <c r="B2404" s="2"/>
      <c r="C2404" s="10" t="s">
        <v>28</v>
      </c>
      <c r="D2404" s="12">
        <f>D2392+D2393+D2397+D2401+D2402</f>
        <v>452.44000000000005</v>
      </c>
      <c r="E2404" s="12">
        <f>E2392+E2393+E2397+E2401+E2402</f>
        <v>18.25296927446424</v>
      </c>
      <c r="F2404" s="13">
        <f>F2392+F2393+F2397+F2401+F2402+F2403</f>
        <v>515</v>
      </c>
      <c r="G2404" s="13">
        <f>G2392+G2393+G2397+G2401+G2402+G2403</f>
        <v>20.776852569067902</v>
      </c>
    </row>
    <row r="2405" spans="2:7" ht="12.75">
      <c r="B2405" s="2">
        <v>4</v>
      </c>
      <c r="C2405" s="10" t="s">
        <v>29</v>
      </c>
      <c r="D2405" s="13">
        <v>45.22</v>
      </c>
      <c r="E2405" s="12">
        <v>1.8</v>
      </c>
      <c r="F2405" s="12"/>
      <c r="G2405" s="12"/>
    </row>
    <row r="2406" spans="2:7" ht="12.75">
      <c r="B2406" s="5">
        <v>5</v>
      </c>
      <c r="C2406" s="10" t="s">
        <v>13</v>
      </c>
      <c r="D2406" s="13">
        <f>D2404+D2405</f>
        <v>497.6600000000001</v>
      </c>
      <c r="E2406" s="13">
        <f>E2404+E2405</f>
        <v>20.05296927446424</v>
      </c>
      <c r="F2406" s="13">
        <f>F2404-F2389/1000</f>
        <v>-25.37279000000001</v>
      </c>
      <c r="G2406" s="13"/>
    </row>
    <row r="2407" spans="2:7" ht="12.75">
      <c r="B2407" s="5"/>
      <c r="C2407" s="10"/>
      <c r="D2407" s="13"/>
      <c r="E2407" s="13"/>
      <c r="F2407" s="13"/>
      <c r="G2407" s="13"/>
    </row>
    <row r="2408" spans="2:7" ht="12.75">
      <c r="B2408" s="11" t="s">
        <v>30</v>
      </c>
      <c r="C2408" s="11"/>
      <c r="D2408" s="33" t="s">
        <v>6</v>
      </c>
      <c r="E2408" s="25"/>
      <c r="F2408" s="25"/>
      <c r="G2408" s="13"/>
    </row>
    <row r="2409" spans="2:7" ht="12.75">
      <c r="B2409" s="25"/>
      <c r="C2409" s="34" t="s">
        <v>31</v>
      </c>
      <c r="D2409" s="35">
        <v>20862.48</v>
      </c>
      <c r="E2409" s="25"/>
      <c r="F2409" s="25"/>
      <c r="G2409" s="13"/>
    </row>
    <row r="2410" spans="2:7" ht="12.75">
      <c r="B2410" s="5"/>
      <c r="C2410" s="23" t="s">
        <v>32</v>
      </c>
      <c r="D2410" s="35">
        <v>19057.93</v>
      </c>
      <c r="E2410" s="25"/>
      <c r="F2410" s="25"/>
      <c r="G2410" s="13"/>
    </row>
    <row r="2411" spans="2:7" ht="12.75">
      <c r="B2411" s="5"/>
      <c r="C2411" s="36" t="s">
        <v>13</v>
      </c>
      <c r="D2411" s="33">
        <f>D2410-D2409</f>
        <v>-1804.5499999999993</v>
      </c>
      <c r="E2411" s="25"/>
      <c r="F2411" s="25"/>
      <c r="G2411" s="13"/>
    </row>
    <row r="2412" spans="2:7" ht="12.75">
      <c r="B2412" s="5"/>
      <c r="C2412" s="34" t="s">
        <v>33</v>
      </c>
      <c r="D2412" s="35">
        <v>23114.13</v>
      </c>
      <c r="E2412" s="25"/>
      <c r="F2412" s="25"/>
      <c r="G2412" s="13"/>
    </row>
    <row r="2413" spans="2:7" ht="12.75">
      <c r="B2413" s="5"/>
      <c r="C2413" s="23" t="s">
        <v>34</v>
      </c>
      <c r="D2413" s="35">
        <v>20732.21</v>
      </c>
      <c r="E2413" s="25"/>
      <c r="F2413" s="25"/>
      <c r="G2413" s="13"/>
    </row>
    <row r="2414" spans="2:7" ht="12.75">
      <c r="B2414" s="5"/>
      <c r="C2414" s="36" t="s">
        <v>13</v>
      </c>
      <c r="D2414" s="33">
        <f>D2413-D2412</f>
        <v>-2381.920000000002</v>
      </c>
      <c r="E2414" s="25"/>
      <c r="F2414" s="25"/>
      <c r="G2414" s="13"/>
    </row>
    <row r="2415" spans="2:7" ht="12.75">
      <c r="B2415" s="5"/>
      <c r="C2415" s="34" t="s">
        <v>42</v>
      </c>
      <c r="D2415" s="35">
        <v>6589.31</v>
      </c>
      <c r="E2415" s="25"/>
      <c r="F2415" s="25"/>
      <c r="G2415" s="13"/>
    </row>
    <row r="2416" spans="2:7" ht="12.75">
      <c r="B2416" s="5"/>
      <c r="C2416" s="23" t="s">
        <v>43</v>
      </c>
      <c r="D2416" s="35">
        <v>6051.79</v>
      </c>
      <c r="E2416" s="25"/>
      <c r="F2416" s="25"/>
      <c r="G2416" s="13"/>
    </row>
    <row r="2417" spans="2:7" ht="12.75">
      <c r="B2417" s="5"/>
      <c r="C2417" s="36" t="s">
        <v>13</v>
      </c>
      <c r="D2417" s="33">
        <f>D2416-D2415</f>
        <v>-537.5200000000004</v>
      </c>
      <c r="E2417" s="25"/>
      <c r="F2417" s="25"/>
      <c r="G2417" s="13"/>
    </row>
    <row r="2418" spans="2:7" ht="12.75">
      <c r="B2418" s="11"/>
      <c r="C2418" s="36" t="s">
        <v>35</v>
      </c>
      <c r="D2418" s="50">
        <f>D2411+D2414+D2417</f>
        <v>-4723.990000000002</v>
      </c>
      <c r="E2418" s="25"/>
      <c r="F2418" s="25"/>
      <c r="G2418" s="13"/>
    </row>
    <row r="2419" spans="2:7" ht="12.75">
      <c r="B2419" s="11"/>
      <c r="C2419" s="11"/>
      <c r="D2419" s="27"/>
      <c r="E2419" s="25"/>
      <c r="F2419" s="25"/>
      <c r="G2419" s="13"/>
    </row>
    <row r="2420" spans="2:7" ht="12.75">
      <c r="B2420" s="11"/>
      <c r="C2420" s="14" t="s">
        <v>44</v>
      </c>
      <c r="D2420" s="27" t="s">
        <v>37</v>
      </c>
      <c r="E2420" s="25"/>
      <c r="F2420" s="46">
        <v>-20.65</v>
      </c>
      <c r="G2420" s="13"/>
    </row>
    <row r="2421" spans="2:7" ht="12.75">
      <c r="B2421" s="5"/>
      <c r="C2421" s="14" t="s">
        <v>150</v>
      </c>
      <c r="D2421" s="13"/>
      <c r="E2421" s="13"/>
      <c r="F2421" s="37">
        <v>53.3</v>
      </c>
      <c r="G2421" s="13"/>
    </row>
    <row r="2422" spans="2:7" ht="12.75">
      <c r="B2422" s="23" t="s">
        <v>39</v>
      </c>
      <c r="C2422" s="23"/>
      <c r="D2422" s="23"/>
      <c r="E2422" s="23"/>
      <c r="F2422" s="23"/>
      <c r="G2422" s="23"/>
    </row>
    <row r="2424" spans="2:7" ht="12.75">
      <c r="B2424" s="1" t="s">
        <v>0</v>
      </c>
      <c r="C2424" s="1"/>
      <c r="D2424" s="1"/>
      <c r="E2424" s="1"/>
      <c r="F2424" s="1"/>
      <c r="G2424" s="1"/>
    </row>
    <row r="2425" spans="2:7" ht="12.75">
      <c r="B2425" s="1" t="s">
        <v>46</v>
      </c>
      <c r="C2425" s="1"/>
      <c r="D2425" s="1"/>
      <c r="E2425" s="1"/>
      <c r="F2425" s="1"/>
      <c r="G2425" s="1"/>
    </row>
    <row r="2426" spans="2:7" ht="12.75">
      <c r="B2426" s="1" t="s">
        <v>151</v>
      </c>
      <c r="C2426" s="1"/>
      <c r="D2426" s="1"/>
      <c r="E2426" s="1"/>
      <c r="F2426" s="1"/>
      <c r="G2426" s="1"/>
    </row>
    <row r="2427" spans="2:7" ht="12.75" customHeight="1">
      <c r="B2427" s="2"/>
      <c r="C2427" s="2" t="s">
        <v>3</v>
      </c>
      <c r="D2427" s="3" t="s">
        <v>41</v>
      </c>
      <c r="E2427" s="3"/>
      <c r="F2427" s="4" t="s">
        <v>109</v>
      </c>
      <c r="G2427" s="4"/>
    </row>
    <row r="2428" spans="2:7" ht="12.75">
      <c r="B2428" s="2"/>
      <c r="C2428" s="2"/>
      <c r="D2428" s="3" t="s">
        <v>6</v>
      </c>
      <c r="E2428" s="3" t="s">
        <v>7</v>
      </c>
      <c r="F2428" s="3" t="s">
        <v>6</v>
      </c>
      <c r="G2428" s="3" t="s">
        <v>8</v>
      </c>
    </row>
    <row r="2429" spans="2:7" ht="12.75">
      <c r="B2429" s="5">
        <v>1</v>
      </c>
      <c r="C2429" s="6" t="s">
        <v>9</v>
      </c>
      <c r="D2429" s="13">
        <v>2035</v>
      </c>
      <c r="E2429" s="13"/>
      <c r="F2429" s="13">
        <v>2035</v>
      </c>
      <c r="G2429" s="13"/>
    </row>
    <row r="2430" spans="2:7" ht="12.75">
      <c r="B2430" s="5">
        <v>2</v>
      </c>
      <c r="C2430" s="7" t="s">
        <v>145</v>
      </c>
      <c r="D2430" s="8"/>
      <c r="E2430" s="8"/>
      <c r="F2430" s="8" t="s">
        <v>3</v>
      </c>
      <c r="G2430" s="8"/>
    </row>
    <row r="2431" spans="2:7" ht="12.75">
      <c r="B2431" s="5"/>
      <c r="C2431" s="20" t="s">
        <v>11</v>
      </c>
      <c r="D2431" s="9"/>
      <c r="E2431" s="9"/>
      <c r="F2431" s="9">
        <v>508112.61</v>
      </c>
      <c r="G2431" s="9"/>
    </row>
    <row r="2432" spans="2:7" ht="12.75">
      <c r="B2432" s="5"/>
      <c r="C2432" s="34" t="s">
        <v>146</v>
      </c>
      <c r="D2432" s="9"/>
      <c r="E2432" s="9"/>
      <c r="F2432" s="9">
        <v>511918.22</v>
      </c>
      <c r="G2432" s="9"/>
    </row>
    <row r="2433" spans="2:7" ht="12.75">
      <c r="B2433" s="5"/>
      <c r="C2433" s="2" t="s">
        <v>13</v>
      </c>
      <c r="D2433" s="9"/>
      <c r="E2433" s="9"/>
      <c r="F2433" s="9">
        <f>F2432-F2431</f>
        <v>3805.609999999986</v>
      </c>
      <c r="G2433" s="9"/>
    </row>
    <row r="2434" spans="2:7" ht="12.75">
      <c r="B2434" s="5">
        <v>3</v>
      </c>
      <c r="C2434" s="10" t="s">
        <v>14</v>
      </c>
      <c r="D2434" s="1" t="s">
        <v>15</v>
      </c>
      <c r="E2434" s="1"/>
      <c r="F2434" s="1" t="s">
        <v>15</v>
      </c>
      <c r="G2434" s="1"/>
    </row>
    <row r="2435" spans="2:7" ht="12.75">
      <c r="B2435" s="11" t="s">
        <v>16</v>
      </c>
      <c r="C2435" s="11"/>
      <c r="D2435" s="13">
        <v>66.18</v>
      </c>
      <c r="E2435" s="13">
        <f>D2435/2035/12*1000</f>
        <v>2.7100737100737105</v>
      </c>
      <c r="F2435" s="13">
        <v>68.6</v>
      </c>
      <c r="G2435" s="13">
        <f>F2435/2035/12*1000</f>
        <v>2.809172809172809</v>
      </c>
    </row>
    <row r="2436" spans="2:7" ht="12.75" customHeight="1">
      <c r="B2436" s="14" t="s">
        <v>17</v>
      </c>
      <c r="C2436" s="14"/>
      <c r="D2436" s="1">
        <f>D2437+D2438+D2439</f>
        <v>137</v>
      </c>
      <c r="E2436" s="13">
        <f>D2436/2035/12*1000</f>
        <v>5.610155610155609</v>
      </c>
      <c r="F2436" s="12">
        <f>F2437+F2438+F2439</f>
        <v>153.07999999999998</v>
      </c>
      <c r="G2436" s="13">
        <f>F2436/2035/12*1000</f>
        <v>6.268632268632268</v>
      </c>
    </row>
    <row r="2437" spans="2:7" ht="12.75">
      <c r="B2437" s="2"/>
      <c r="C2437" s="15" t="s">
        <v>18</v>
      </c>
      <c r="D2437" s="9">
        <v>106.2</v>
      </c>
      <c r="E2437" s="13">
        <f>D2437/2035/12*1000</f>
        <v>4.3488943488943494</v>
      </c>
      <c r="F2437" s="9">
        <f>39.05+2.83+65.3</f>
        <v>107.17999999999999</v>
      </c>
      <c r="G2437" s="13">
        <f>F2437/2035/12*1000</f>
        <v>4.389025389025389</v>
      </c>
    </row>
    <row r="2438" spans="2:7" ht="12.75">
      <c r="B2438" s="2"/>
      <c r="C2438" s="15" t="s">
        <v>19</v>
      </c>
      <c r="D2438" s="18">
        <v>30.8</v>
      </c>
      <c r="E2438" s="13">
        <f>D2438/2035/12*1000</f>
        <v>1.2612612612612613</v>
      </c>
      <c r="F2438" s="45">
        <v>40.3</v>
      </c>
      <c r="G2438" s="13">
        <f>F2438/2035/12*1000</f>
        <v>1.6502866502866502</v>
      </c>
    </row>
    <row r="2439" spans="2:7" ht="12.75">
      <c r="B2439" s="32" t="s">
        <v>20</v>
      </c>
      <c r="C2439" s="32"/>
      <c r="D2439" s="18">
        <v>0</v>
      </c>
      <c r="E2439" s="13">
        <f>D2439/2035/12*1000</f>
        <v>0</v>
      </c>
      <c r="F2439" s="18">
        <v>5.6</v>
      </c>
      <c r="G2439" s="13">
        <f>F2439/2035/12*1000</f>
        <v>0.22932022932022933</v>
      </c>
    </row>
    <row r="2440" spans="2:7" ht="12.75" customHeight="1">
      <c r="B2440" s="19" t="s">
        <v>21</v>
      </c>
      <c r="C2440" s="19"/>
      <c r="D2440" s="13">
        <f>D2441+D2443+D2442</f>
        <v>152.66</v>
      </c>
      <c r="E2440" s="13">
        <f>D2440/2035/12*1000</f>
        <v>6.251433251433251</v>
      </c>
      <c r="F2440" s="13">
        <f>F2441+F2443+F2442</f>
        <v>165.15</v>
      </c>
      <c r="G2440" s="13">
        <f>F2440/2035/12*1000</f>
        <v>6.762899262899263</v>
      </c>
    </row>
    <row r="2441" spans="2:7" ht="12.75">
      <c r="B2441" s="2"/>
      <c r="C2441" s="15" t="s">
        <v>22</v>
      </c>
      <c r="D2441" s="9">
        <v>128</v>
      </c>
      <c r="E2441" s="13">
        <f>D2441/2035/12*1000</f>
        <v>5.241605241605241</v>
      </c>
      <c r="F2441" s="8">
        <f>91.2+27.82+4+12.3+1.66+1.4+11.44+4.6+4+0.2+1.43</f>
        <v>160.05</v>
      </c>
      <c r="G2441" s="13">
        <f>F2441/2035/12*1000</f>
        <v>6.5540540540540535</v>
      </c>
    </row>
    <row r="2442" spans="2:7" ht="12.75">
      <c r="B2442" s="2"/>
      <c r="C2442" s="15" t="s">
        <v>23</v>
      </c>
      <c r="D2442" s="9">
        <v>22.71</v>
      </c>
      <c r="E2442" s="13">
        <f>D2442/2035/12*1000</f>
        <v>0.9299754299754299</v>
      </c>
      <c r="F2442" s="9">
        <v>5</v>
      </c>
      <c r="G2442" s="13">
        <f>F2442/2035/12*1000</f>
        <v>0.20475020475020472</v>
      </c>
    </row>
    <row r="2443" spans="2:7" ht="12.75">
      <c r="B2443" s="2"/>
      <c r="C2443" s="20" t="s">
        <v>24</v>
      </c>
      <c r="D2443" s="9">
        <v>1.9500000000000002</v>
      </c>
      <c r="E2443" s="13">
        <f>D2443/2035/12*1000</f>
        <v>0.07985257985257986</v>
      </c>
      <c r="F2443" s="9">
        <v>0.1</v>
      </c>
      <c r="G2443" s="13">
        <f>F2443/2035/12*1000</f>
        <v>0.004095004095004095</v>
      </c>
    </row>
    <row r="2444" spans="2:7" ht="12.75">
      <c r="B2444" s="11" t="s">
        <v>25</v>
      </c>
      <c r="C2444" s="11"/>
      <c r="D2444" s="13">
        <v>14.4</v>
      </c>
      <c r="E2444" s="13">
        <f>D2444/2035/12*1000</f>
        <v>0.5896805896805897</v>
      </c>
      <c r="F2444" s="13">
        <v>15.3</v>
      </c>
      <c r="G2444" s="13">
        <f>F2444/2035/12*1000</f>
        <v>0.6265356265356266</v>
      </c>
    </row>
    <row r="2445" spans="2:7" ht="12.75">
      <c r="B2445" s="21" t="s">
        <v>26</v>
      </c>
      <c r="C2445" s="21"/>
      <c r="D2445" s="13">
        <v>75.45</v>
      </c>
      <c r="E2445" s="13">
        <f>D2445/2035/12*1000</f>
        <v>3.08968058968059</v>
      </c>
      <c r="F2445" s="1">
        <f>13.67+62.73</f>
        <v>76.39999999999999</v>
      </c>
      <c r="G2445" s="13">
        <f>F2445/2035/12*1000</f>
        <v>3.128583128583128</v>
      </c>
    </row>
    <row r="2446" spans="2:7" ht="12.75">
      <c r="B2446" s="21"/>
      <c r="C2446" s="22" t="s">
        <v>27</v>
      </c>
      <c r="D2446" s="13">
        <v>0</v>
      </c>
      <c r="E2446" s="13">
        <f>D2446/2035/12*1000</f>
        <v>0</v>
      </c>
      <c r="F2446" s="1">
        <v>21.25</v>
      </c>
      <c r="G2446" s="13">
        <f>F2446/2035/12*1000</f>
        <v>0.8701883701883701</v>
      </c>
    </row>
    <row r="2447" spans="2:7" ht="12.75">
      <c r="B2447" s="2"/>
      <c r="C2447" s="10" t="s">
        <v>28</v>
      </c>
      <c r="D2447" s="12">
        <f>D2435+D2436+D2440+D2444+D2445</f>
        <v>445.69</v>
      </c>
      <c r="E2447" s="12">
        <f>E2435+E2436+E2440+E2444+E2445</f>
        <v>18.25102375102375</v>
      </c>
      <c r="F2447" s="12">
        <f>F2435+F2436+F2440+F2444+F2445+F2446</f>
        <v>499.78</v>
      </c>
      <c r="G2447" s="13">
        <f>G2435+G2436+G2440+G2444+G2445+G2446</f>
        <v>20.466011466011466</v>
      </c>
    </row>
    <row r="2448" spans="2:7" ht="12.75">
      <c r="B2448" s="2">
        <v>4</v>
      </c>
      <c r="C2448" s="10" t="s">
        <v>29</v>
      </c>
      <c r="D2448" s="13">
        <v>44.57</v>
      </c>
      <c r="E2448" s="12">
        <v>1.8</v>
      </c>
      <c r="F2448" s="12"/>
      <c r="G2448" s="12"/>
    </row>
    <row r="2449" spans="2:7" ht="12.75">
      <c r="B2449" s="5">
        <v>5</v>
      </c>
      <c r="C2449" s="10" t="s">
        <v>13</v>
      </c>
      <c r="D2449" s="13">
        <f>D2447+D2448</f>
        <v>490.26</v>
      </c>
      <c r="E2449" s="13">
        <f>E2447+E2448</f>
        <v>20.051023751023752</v>
      </c>
      <c r="F2449" s="13">
        <f>F2447-F2432/1000</f>
        <v>-12.13821999999999</v>
      </c>
      <c r="G2449" s="13"/>
    </row>
    <row r="2450" spans="2:7" ht="12.75">
      <c r="B2450" s="5"/>
      <c r="C2450" s="10"/>
      <c r="D2450" s="13"/>
      <c r="E2450" s="13"/>
      <c r="F2450" s="13"/>
      <c r="G2450" s="13"/>
    </row>
    <row r="2451" spans="2:7" ht="12.75">
      <c r="B2451" s="11" t="s">
        <v>30</v>
      </c>
      <c r="C2451" s="11"/>
      <c r="D2451" s="33" t="s">
        <v>6</v>
      </c>
      <c r="E2451" s="25"/>
      <c r="F2451" s="25"/>
      <c r="G2451" s="13"/>
    </row>
    <row r="2452" spans="2:7" ht="12.75">
      <c r="B2452" s="25"/>
      <c r="C2452" s="34" t="s">
        <v>31</v>
      </c>
      <c r="D2452" s="35">
        <v>16683.81</v>
      </c>
      <c r="E2452" s="25"/>
      <c r="F2452" s="25"/>
      <c r="G2452" s="13"/>
    </row>
    <row r="2453" spans="2:7" ht="12.75">
      <c r="B2453" s="5"/>
      <c r="C2453" s="23" t="s">
        <v>32</v>
      </c>
      <c r="D2453" s="35">
        <v>13629.23</v>
      </c>
      <c r="E2453" s="25"/>
      <c r="F2453" s="25"/>
      <c r="G2453" s="13"/>
    </row>
    <row r="2454" spans="2:7" ht="12.75">
      <c r="B2454" s="5"/>
      <c r="C2454" s="36" t="s">
        <v>13</v>
      </c>
      <c r="D2454" s="33">
        <f>D2453-D2452</f>
        <v>-3054.5800000000017</v>
      </c>
      <c r="E2454" s="25"/>
      <c r="F2454" s="25"/>
      <c r="G2454" s="13"/>
    </row>
    <row r="2455" spans="2:7" ht="12.75">
      <c r="B2455" s="5"/>
      <c r="C2455" s="34" t="s">
        <v>33</v>
      </c>
      <c r="D2455" s="35">
        <v>18494.34</v>
      </c>
      <c r="E2455" s="25"/>
      <c r="F2455" s="25"/>
      <c r="G2455" s="13"/>
    </row>
    <row r="2456" spans="2:7" ht="12.75">
      <c r="B2456" s="5"/>
      <c r="C2456" s="23" t="s">
        <v>34</v>
      </c>
      <c r="D2456" s="35">
        <v>14967.34</v>
      </c>
      <c r="E2456" s="25"/>
      <c r="F2456" s="25"/>
      <c r="G2456" s="13"/>
    </row>
    <row r="2457" spans="2:7" ht="12.75">
      <c r="B2457" s="5"/>
      <c r="C2457" s="36" t="s">
        <v>13</v>
      </c>
      <c r="D2457" s="33">
        <f>D2456-D2455</f>
        <v>-3527</v>
      </c>
      <c r="E2457" s="25"/>
      <c r="F2457" s="25"/>
      <c r="G2457" s="13"/>
    </row>
    <row r="2458" spans="2:7" ht="12.75">
      <c r="B2458" s="5"/>
      <c r="C2458" s="34" t="s">
        <v>42</v>
      </c>
      <c r="D2458" s="35">
        <v>14136.33</v>
      </c>
      <c r="E2458" s="25"/>
      <c r="F2458" s="25"/>
      <c r="G2458" s="13"/>
    </row>
    <row r="2459" spans="2:7" ht="12.75">
      <c r="B2459" s="5"/>
      <c r="C2459" s="23" t="s">
        <v>43</v>
      </c>
      <c r="D2459" s="35">
        <v>10409.74</v>
      </c>
      <c r="E2459" s="25"/>
      <c r="F2459" s="25"/>
      <c r="G2459" s="13"/>
    </row>
    <row r="2460" spans="2:7" ht="12.75">
      <c r="B2460" s="5"/>
      <c r="C2460" s="36" t="s">
        <v>13</v>
      </c>
      <c r="D2460" s="33">
        <f>D2459-D2458</f>
        <v>-3726.59</v>
      </c>
      <c r="E2460" s="25"/>
      <c r="F2460" s="25"/>
      <c r="G2460" s="13"/>
    </row>
    <row r="2461" spans="2:7" ht="12.75">
      <c r="B2461" s="11"/>
      <c r="C2461" s="36" t="s">
        <v>35</v>
      </c>
      <c r="D2461" s="50">
        <f>D2454+D2457+D2460</f>
        <v>-10308.170000000002</v>
      </c>
      <c r="E2461" s="25"/>
      <c r="F2461" s="25"/>
      <c r="G2461" s="13"/>
    </row>
    <row r="2462" spans="2:7" ht="12.75">
      <c r="B2462" s="11"/>
      <c r="C2462" s="11"/>
      <c r="D2462" s="27"/>
      <c r="E2462" s="25"/>
      <c r="F2462" s="25"/>
      <c r="G2462" s="13"/>
    </row>
    <row r="2463" spans="2:7" ht="12.75">
      <c r="B2463" s="11"/>
      <c r="C2463" s="14" t="s">
        <v>44</v>
      </c>
      <c r="D2463" s="27" t="s">
        <v>37</v>
      </c>
      <c r="E2463" s="25"/>
      <c r="F2463" s="46">
        <v>-1.83</v>
      </c>
      <c r="G2463" s="13"/>
    </row>
    <row r="2464" spans="2:7" ht="12.75">
      <c r="B2464" s="5"/>
      <c r="C2464" s="14" t="s">
        <v>150</v>
      </c>
      <c r="D2464" s="13"/>
      <c r="E2464" s="13"/>
      <c r="F2464" s="37">
        <v>102</v>
      </c>
      <c r="G2464" s="13"/>
    </row>
    <row r="2465" spans="2:7" ht="12.75">
      <c r="B2465" s="23" t="s">
        <v>39</v>
      </c>
      <c r="C2465" s="23"/>
      <c r="D2465" s="23"/>
      <c r="E2465" s="23"/>
      <c r="F2465" s="23"/>
      <c r="G2465" s="23"/>
    </row>
    <row r="2467" spans="2:7" ht="12.75">
      <c r="B2467" s="1" t="s">
        <v>0</v>
      </c>
      <c r="C2467" s="1"/>
      <c r="D2467" s="1"/>
      <c r="E2467" s="1"/>
      <c r="F2467" s="1"/>
      <c r="G2467" s="1"/>
    </row>
    <row r="2468" spans="2:7" ht="12.75">
      <c r="B2468" s="1" t="s">
        <v>51</v>
      </c>
      <c r="C2468" s="1"/>
      <c r="D2468" s="1"/>
      <c r="E2468" s="1"/>
      <c r="F2468" s="1"/>
      <c r="G2468" s="1"/>
    </row>
    <row r="2469" spans="2:7" ht="12.75">
      <c r="B2469" s="1" t="s">
        <v>152</v>
      </c>
      <c r="C2469" s="1"/>
      <c r="D2469" s="1"/>
      <c r="E2469" s="1"/>
      <c r="F2469" s="1"/>
      <c r="G2469" s="1"/>
    </row>
    <row r="2470" spans="2:7" ht="12.75" customHeight="1">
      <c r="B2470" s="2"/>
      <c r="C2470" s="2" t="s">
        <v>3</v>
      </c>
      <c r="D2470" s="3" t="s">
        <v>41</v>
      </c>
      <c r="E2470" s="3"/>
      <c r="F2470" s="4" t="s">
        <v>109</v>
      </c>
      <c r="G2470" s="4"/>
    </row>
    <row r="2471" spans="2:7" ht="12.75">
      <c r="B2471" s="2"/>
      <c r="C2471" s="2"/>
      <c r="D2471" s="3" t="s">
        <v>6</v>
      </c>
      <c r="E2471" s="3" t="s">
        <v>7</v>
      </c>
      <c r="F2471" s="3" t="s">
        <v>6</v>
      </c>
      <c r="G2471" s="3" t="s">
        <v>8</v>
      </c>
    </row>
    <row r="2472" spans="2:7" ht="12.75">
      <c r="B2472" s="5">
        <v>1</v>
      </c>
      <c r="C2472" s="6" t="s">
        <v>9</v>
      </c>
      <c r="D2472" s="13">
        <v>1758.8</v>
      </c>
      <c r="E2472" s="13"/>
      <c r="F2472" s="13">
        <v>1758.8</v>
      </c>
      <c r="G2472" s="13"/>
    </row>
    <row r="2473" spans="2:7" ht="12.75">
      <c r="B2473" s="5">
        <v>2</v>
      </c>
      <c r="C2473" s="7" t="s">
        <v>55</v>
      </c>
      <c r="D2473" s="8"/>
      <c r="E2473" s="8"/>
      <c r="F2473" s="8" t="s">
        <v>3</v>
      </c>
      <c r="G2473" s="8"/>
    </row>
    <row r="2474" spans="2:7" ht="12.75">
      <c r="B2474" s="5"/>
      <c r="C2474" s="20" t="s">
        <v>11</v>
      </c>
      <c r="D2474" s="9"/>
      <c r="E2474" s="9"/>
      <c r="F2474" s="9">
        <v>377826.04</v>
      </c>
      <c r="G2474" s="9"/>
    </row>
    <row r="2475" spans="2:7" ht="12.75">
      <c r="B2475" s="5"/>
      <c r="C2475" s="34" t="s">
        <v>146</v>
      </c>
      <c r="D2475" s="9"/>
      <c r="E2475" s="9"/>
      <c r="F2475" s="9">
        <v>383997.5</v>
      </c>
      <c r="G2475" s="9"/>
    </row>
    <row r="2476" spans="2:7" ht="12.75">
      <c r="B2476" s="5"/>
      <c r="C2476" s="2" t="s">
        <v>13</v>
      </c>
      <c r="D2476" s="9"/>
      <c r="E2476" s="9"/>
      <c r="F2476" s="9">
        <f>F2475-F2474</f>
        <v>6171.460000000021</v>
      </c>
      <c r="G2476" s="9"/>
    </row>
    <row r="2477" spans="2:7" ht="12.75">
      <c r="B2477" s="5">
        <v>3</v>
      </c>
      <c r="C2477" s="10" t="s">
        <v>14</v>
      </c>
      <c r="D2477" s="1" t="s">
        <v>15</v>
      </c>
      <c r="E2477" s="1"/>
      <c r="F2477" s="1" t="s">
        <v>15</v>
      </c>
      <c r="G2477" s="1"/>
    </row>
    <row r="2478" spans="2:7" ht="12.75">
      <c r="B2478" s="11" t="s">
        <v>16</v>
      </c>
      <c r="C2478" s="11"/>
      <c r="D2478" s="13">
        <v>51.7</v>
      </c>
      <c r="E2478" s="13">
        <f>D2478/1758.8/12*1000</f>
        <v>2.4495868395117886</v>
      </c>
      <c r="F2478" s="13">
        <v>51</v>
      </c>
      <c r="G2478" s="13">
        <f>F2478/1758.8/12*1000</f>
        <v>2.416420286559018</v>
      </c>
    </row>
    <row r="2479" spans="2:7" ht="12.75" customHeight="1">
      <c r="B2479" s="14" t="s">
        <v>17</v>
      </c>
      <c r="C2479" s="14"/>
      <c r="D2479" s="1">
        <f>D2480+D2481+D2482</f>
        <v>88.6</v>
      </c>
      <c r="E2479" s="13">
        <f>D2479/1758.8/12*1000</f>
        <v>4.197937988022136</v>
      </c>
      <c r="F2479" s="12">
        <f>F2480+F2481+F2482</f>
        <v>169.37</v>
      </c>
      <c r="G2479" s="13">
        <f>F2479/1758.8/12*1000</f>
        <v>8.024884390872565</v>
      </c>
    </row>
    <row r="2480" spans="2:7" ht="12.75">
      <c r="B2480" s="2"/>
      <c r="C2480" s="15" t="s">
        <v>18</v>
      </c>
      <c r="D2480" s="9">
        <v>88.6</v>
      </c>
      <c r="E2480" s="13">
        <f>D2480/1758.8/12*1000</f>
        <v>4.197937988022136</v>
      </c>
      <c r="F2480" s="9">
        <f>33.77+1.6+56.5</f>
        <v>91.87</v>
      </c>
      <c r="G2480" s="13">
        <f>F2480/1758.8/12*1000</f>
        <v>4.352873171101509</v>
      </c>
    </row>
    <row r="2481" spans="2:7" ht="12.75">
      <c r="B2481" s="2"/>
      <c r="C2481" s="15" t="s">
        <v>19</v>
      </c>
      <c r="D2481" s="18">
        <v>0</v>
      </c>
      <c r="E2481" s="13">
        <f>D2481/1758.8/12*1000</f>
        <v>0</v>
      </c>
      <c r="F2481" s="45">
        <v>77.5</v>
      </c>
      <c r="G2481" s="13">
        <f>F2481/1758.8/12*1000</f>
        <v>3.672011219771056</v>
      </c>
    </row>
    <row r="2482" spans="2:7" ht="12.75">
      <c r="B2482" s="32" t="s">
        <v>20</v>
      </c>
      <c r="C2482" s="32"/>
      <c r="D2482" s="18">
        <v>0</v>
      </c>
      <c r="E2482" s="13">
        <f>D2482/1758.8/12*1000</f>
        <v>0</v>
      </c>
      <c r="F2482" s="18">
        <v>0</v>
      </c>
      <c r="G2482" s="13">
        <f>F2482/1758.8/12*1000</f>
        <v>0</v>
      </c>
    </row>
    <row r="2483" spans="2:7" ht="12.75" customHeight="1">
      <c r="B2483" s="19" t="s">
        <v>21</v>
      </c>
      <c r="C2483" s="19"/>
      <c r="D2483" s="13">
        <f>D2484+D2486+D2485</f>
        <v>131.92</v>
      </c>
      <c r="E2483" s="13">
        <f>D2483/1758.8/12*1000</f>
        <v>6.250473807899324</v>
      </c>
      <c r="F2483" s="13">
        <f>F2484+F2486+F2485</f>
        <v>129.79000000000002</v>
      </c>
      <c r="G2483" s="13">
        <f>F2483/1758.8/12*1000</f>
        <v>6.149552725343038</v>
      </c>
    </row>
    <row r="2484" spans="2:7" ht="12.75">
      <c r="B2484" s="2"/>
      <c r="C2484" s="15" t="s">
        <v>22</v>
      </c>
      <c r="D2484" s="9">
        <v>110.6</v>
      </c>
      <c r="E2484" s="13">
        <f>D2484/1758.8/12*1000</f>
        <v>5.240315366537791</v>
      </c>
      <c r="F2484" s="8">
        <f>78.88+24.06+3.45+10.64+1.43+3.41+0.18+1.23</f>
        <v>123.28000000000002</v>
      </c>
      <c r="G2484" s="13">
        <f>F2484/1758.8/12*1000</f>
        <v>5.841103782882269</v>
      </c>
    </row>
    <row r="2485" spans="2:7" ht="12.75">
      <c r="B2485" s="2"/>
      <c r="C2485" s="15" t="s">
        <v>23</v>
      </c>
      <c r="D2485" s="9">
        <v>19.63</v>
      </c>
      <c r="E2485" s="13">
        <f>D2485/1758.8/12*1000</f>
        <v>0.9300849063755591</v>
      </c>
      <c r="F2485" s="9">
        <v>5.65</v>
      </c>
      <c r="G2485" s="13">
        <f>F2485/1758.8/12*1000</f>
        <v>0.2677014631187931</v>
      </c>
    </row>
    <row r="2486" spans="2:7" ht="12.75">
      <c r="B2486" s="2"/>
      <c r="C2486" s="20" t="s">
        <v>24</v>
      </c>
      <c r="D2486" s="9">
        <v>1.69</v>
      </c>
      <c r="E2486" s="13">
        <f>D2486/1758.8/12*1000</f>
        <v>0.08007353498597529</v>
      </c>
      <c r="F2486" s="9">
        <v>0.86</v>
      </c>
      <c r="G2486" s="13">
        <f>F2486/1758.8/12*1000</f>
        <v>0.04074747934197559</v>
      </c>
    </row>
    <row r="2487" spans="2:7" ht="12.75">
      <c r="B2487" s="11" t="s">
        <v>25</v>
      </c>
      <c r="C2487" s="11"/>
      <c r="D2487" s="13">
        <v>11</v>
      </c>
      <c r="E2487" s="13">
        <f>D2487/1758.8/12*1000</f>
        <v>0.5211886892578272</v>
      </c>
      <c r="F2487" s="13">
        <v>11.45</v>
      </c>
      <c r="G2487" s="13">
        <f>F2487/1758.8/12*1000</f>
        <v>0.5425100447274657</v>
      </c>
    </row>
    <row r="2488" spans="2:7" ht="12.75">
      <c r="B2488" s="21" t="s">
        <v>26</v>
      </c>
      <c r="C2488" s="21"/>
      <c r="D2488" s="13">
        <v>65.2</v>
      </c>
      <c r="E2488" s="13">
        <f>D2488/1758.8/12*1000</f>
        <v>3.0892275036009402</v>
      </c>
      <c r="F2488" s="1">
        <f>11.82+54.25</f>
        <v>66.07</v>
      </c>
      <c r="G2488" s="13">
        <f>F2488/1758.8/12*1000</f>
        <v>3.1304487908422405</v>
      </c>
    </row>
    <row r="2489" spans="2:7" ht="12.75">
      <c r="B2489" s="2"/>
      <c r="C2489" s="10" t="s">
        <v>28</v>
      </c>
      <c r="D2489" s="12">
        <f>D2478+D2479+D2483+D2487+D2488</f>
        <v>348.42</v>
      </c>
      <c r="E2489" s="12">
        <f>E2478+E2479+E2483+E2487+E2488</f>
        <v>16.50841482829202</v>
      </c>
      <c r="F2489" s="12">
        <f>F2478+F2479+F2483+F2487+F2488</f>
        <v>427.68</v>
      </c>
      <c r="G2489" s="13">
        <f>G2478+G2479+G2483+G2487+G2488</f>
        <v>20.263816238344326</v>
      </c>
    </row>
    <row r="2490" spans="2:7" ht="12.75">
      <c r="B2490" s="2">
        <v>4</v>
      </c>
      <c r="C2490" s="10" t="s">
        <v>29</v>
      </c>
      <c r="D2490" s="13">
        <v>34.8</v>
      </c>
      <c r="E2490" s="13">
        <v>1.6</v>
      </c>
      <c r="F2490" s="12"/>
      <c r="G2490" s="12"/>
    </row>
    <row r="2491" spans="2:7" ht="12.75">
      <c r="B2491" s="5">
        <v>5</v>
      </c>
      <c r="C2491" s="10" t="s">
        <v>13</v>
      </c>
      <c r="D2491" s="13">
        <f>D2489+D2490</f>
        <v>383.22</v>
      </c>
      <c r="E2491" s="13">
        <f>E2489+E2490</f>
        <v>18.10841482829202</v>
      </c>
      <c r="F2491" s="13">
        <f>F2489-F2475/1000</f>
        <v>43.682500000000005</v>
      </c>
      <c r="G2491" s="13"/>
    </row>
    <row r="2492" spans="2:7" ht="12.75">
      <c r="B2492" s="5"/>
      <c r="C2492" s="10"/>
      <c r="D2492" s="13"/>
      <c r="E2492" s="13"/>
      <c r="F2492" s="13"/>
      <c r="G2492" s="13"/>
    </row>
    <row r="2493" spans="2:7" ht="12.75">
      <c r="B2493" s="11" t="s">
        <v>30</v>
      </c>
      <c r="C2493" s="11"/>
      <c r="D2493" s="33" t="s">
        <v>6</v>
      </c>
      <c r="E2493" s="25"/>
      <c r="F2493" s="25"/>
      <c r="G2493" s="13"/>
    </row>
    <row r="2494" spans="2:7" ht="12.75">
      <c r="B2494" s="25"/>
      <c r="C2494" s="34" t="s">
        <v>31</v>
      </c>
      <c r="D2494" s="35">
        <v>8426.03</v>
      </c>
      <c r="E2494" s="25"/>
      <c r="F2494" s="25">
        <v>8426.03</v>
      </c>
      <c r="G2494" s="13"/>
    </row>
    <row r="2495" spans="2:7" ht="12.75">
      <c r="B2495" s="5"/>
      <c r="C2495" s="23" t="s">
        <v>32</v>
      </c>
      <c r="D2495" s="35">
        <v>7610.21</v>
      </c>
      <c r="E2495" s="25"/>
      <c r="F2495" s="25">
        <v>7610.21</v>
      </c>
      <c r="G2495" s="13"/>
    </row>
    <row r="2496" spans="2:7" ht="12.75">
      <c r="B2496" s="5"/>
      <c r="C2496" s="36" t="s">
        <v>13</v>
      </c>
      <c r="D2496" s="33">
        <f>D2495-D2494</f>
        <v>-815.8200000000006</v>
      </c>
      <c r="E2496" s="25"/>
      <c r="F2496" s="55">
        <f>F2495-F2494</f>
        <v>-815.8200000000006</v>
      </c>
      <c r="G2496" s="13"/>
    </row>
    <row r="2497" spans="2:7" ht="12.75">
      <c r="B2497" s="5"/>
      <c r="C2497" s="34" t="s">
        <v>33</v>
      </c>
      <c r="D2497" s="35">
        <v>9288.02</v>
      </c>
      <c r="E2497" s="25"/>
      <c r="F2497" s="25">
        <v>9288.02</v>
      </c>
      <c r="G2497" s="13"/>
    </row>
    <row r="2498" spans="2:7" ht="12.75">
      <c r="B2498" s="5"/>
      <c r="C2498" s="23" t="s">
        <v>34</v>
      </c>
      <c r="D2498" s="35">
        <v>8176.49</v>
      </c>
      <c r="E2498" s="25"/>
      <c r="F2498" s="25">
        <v>8176.49</v>
      </c>
      <c r="G2498" s="13"/>
    </row>
    <row r="2499" spans="2:7" ht="12.75">
      <c r="B2499" s="5"/>
      <c r="C2499" s="36" t="s">
        <v>13</v>
      </c>
      <c r="D2499" s="33">
        <f>D2498-D2497</f>
        <v>-1111.5300000000007</v>
      </c>
      <c r="E2499" s="25"/>
      <c r="F2499" s="55">
        <f>F2498-F2497</f>
        <v>-1111.5300000000007</v>
      </c>
      <c r="G2499" s="13"/>
    </row>
    <row r="2500" spans="2:7" ht="12.75">
      <c r="B2500" s="5"/>
      <c r="C2500" s="34" t="s">
        <v>42</v>
      </c>
      <c r="D2500" s="35">
        <v>14794.78</v>
      </c>
      <c r="E2500" s="25"/>
      <c r="F2500" s="25">
        <v>14794.78</v>
      </c>
      <c r="G2500" s="13"/>
    </row>
    <row r="2501" spans="2:7" ht="12.75">
      <c r="B2501" s="5"/>
      <c r="C2501" s="23" t="s">
        <v>43</v>
      </c>
      <c r="D2501" s="35">
        <v>11535.88</v>
      </c>
      <c r="E2501" s="25"/>
      <c r="F2501" s="25">
        <v>11535.88</v>
      </c>
      <c r="G2501" s="13"/>
    </row>
    <row r="2502" spans="2:7" ht="12.75">
      <c r="B2502" s="5"/>
      <c r="C2502" s="36" t="s">
        <v>13</v>
      </c>
      <c r="D2502" s="33">
        <f>D2501-D2500</f>
        <v>-3258.9000000000015</v>
      </c>
      <c r="E2502" s="25"/>
      <c r="F2502" s="55">
        <f>F2501-F2500</f>
        <v>-3258.9000000000015</v>
      </c>
      <c r="G2502" s="13"/>
    </row>
    <row r="2503" spans="2:7" ht="12.75">
      <c r="B2503" s="11"/>
      <c r="C2503" s="36" t="s">
        <v>35</v>
      </c>
      <c r="D2503" s="50">
        <f>D2496+D2499+D2502</f>
        <v>-5186.250000000003</v>
      </c>
      <c r="E2503" s="25"/>
      <c r="F2503" s="55">
        <f>F2496+F2499+F2502</f>
        <v>-5186.250000000003</v>
      </c>
      <c r="G2503" s="13"/>
    </row>
    <row r="2504" spans="2:7" ht="12.75">
      <c r="B2504" s="11"/>
      <c r="C2504" s="11"/>
      <c r="D2504" s="27"/>
      <c r="E2504" s="25"/>
      <c r="F2504" s="25"/>
      <c r="G2504" s="13"/>
    </row>
    <row r="2505" spans="2:7" ht="12.75">
      <c r="B2505" s="11"/>
      <c r="C2505" s="14" t="s">
        <v>58</v>
      </c>
      <c r="D2505" s="27" t="s">
        <v>37</v>
      </c>
      <c r="E2505" s="25"/>
      <c r="F2505" s="24">
        <v>48.87</v>
      </c>
      <c r="G2505" s="13"/>
    </row>
    <row r="2506" spans="2:7" ht="12.75">
      <c r="B2506" s="5"/>
      <c r="C2506" s="14" t="s">
        <v>147</v>
      </c>
      <c r="D2506" s="13"/>
      <c r="E2506" s="13"/>
      <c r="F2506" s="37">
        <v>-65.3</v>
      </c>
      <c r="G2506" s="13"/>
    </row>
    <row r="2507" spans="2:7" ht="12.75">
      <c r="B2507" s="23" t="s">
        <v>39</v>
      </c>
      <c r="C2507" s="23"/>
      <c r="D2507" s="23"/>
      <c r="E2507" s="23"/>
      <c r="F2507" s="23"/>
      <c r="G2507" s="23"/>
    </row>
    <row r="2508" spans="2:4" ht="12.75">
      <c r="B2508" s="29"/>
      <c r="C2508" s="29"/>
      <c r="D2508" s="38"/>
    </row>
    <row r="2509" spans="2:4" ht="12.75">
      <c r="B2509" s="29"/>
      <c r="C2509" s="29"/>
      <c r="D2509" s="38"/>
    </row>
    <row r="2510" spans="2:7" ht="12.75">
      <c r="B2510" s="1" t="s">
        <v>0</v>
      </c>
      <c r="C2510" s="1"/>
      <c r="D2510" s="1"/>
      <c r="E2510" s="1"/>
      <c r="F2510" s="1"/>
      <c r="G2510" s="1"/>
    </row>
    <row r="2511" spans="2:7" ht="12.75">
      <c r="B2511" s="1" t="s">
        <v>51</v>
      </c>
      <c r="C2511" s="1"/>
      <c r="D2511" s="1"/>
      <c r="E2511" s="1"/>
      <c r="F2511" s="1"/>
      <c r="G2511" s="1"/>
    </row>
    <row r="2512" spans="2:7" ht="12.75">
      <c r="B2512" s="1" t="s">
        <v>153</v>
      </c>
      <c r="C2512" s="1"/>
      <c r="D2512" s="1"/>
      <c r="E2512" s="1"/>
      <c r="F2512" s="1"/>
      <c r="G2512" s="1"/>
    </row>
    <row r="2513" spans="2:7" ht="12.75" customHeight="1">
      <c r="B2513" s="2"/>
      <c r="C2513" s="2" t="s">
        <v>3</v>
      </c>
      <c r="D2513" s="3" t="s">
        <v>41</v>
      </c>
      <c r="E2513" s="3"/>
      <c r="F2513" s="4" t="s">
        <v>109</v>
      </c>
      <c r="G2513" s="4"/>
    </row>
    <row r="2514" spans="2:7" ht="12.75">
      <c r="B2514" s="2"/>
      <c r="C2514" s="2"/>
      <c r="D2514" s="3" t="s">
        <v>6</v>
      </c>
      <c r="E2514" s="3" t="s">
        <v>7</v>
      </c>
      <c r="F2514" s="3" t="s">
        <v>6</v>
      </c>
      <c r="G2514" s="3" t="s">
        <v>8</v>
      </c>
    </row>
    <row r="2515" spans="2:7" ht="12.75">
      <c r="B2515" s="5">
        <v>1</v>
      </c>
      <c r="C2515" s="6" t="s">
        <v>9</v>
      </c>
      <c r="D2515" s="13">
        <v>1177.6</v>
      </c>
      <c r="E2515" s="13"/>
      <c r="F2515" s="13">
        <v>1177.6</v>
      </c>
      <c r="G2515" s="13"/>
    </row>
    <row r="2516" spans="2:7" ht="12.75">
      <c r="B2516" s="5">
        <v>2</v>
      </c>
      <c r="C2516" s="7" t="s">
        <v>64</v>
      </c>
      <c r="D2516" s="8"/>
      <c r="E2516" s="8"/>
      <c r="F2516" s="8" t="s">
        <v>3</v>
      </c>
      <c r="G2516" s="8"/>
    </row>
    <row r="2517" spans="2:7" ht="12.75">
      <c r="B2517" s="5"/>
      <c r="C2517" s="34" t="s">
        <v>154</v>
      </c>
      <c r="D2517" s="9"/>
      <c r="E2517" s="9"/>
      <c r="F2517" s="9">
        <v>283330.56</v>
      </c>
      <c r="G2517" s="9"/>
    </row>
    <row r="2518" spans="2:7" ht="12.75">
      <c r="B2518" s="5"/>
      <c r="C2518" s="34" t="s">
        <v>155</v>
      </c>
      <c r="D2518" s="9"/>
      <c r="E2518" s="9"/>
      <c r="F2518" s="9">
        <v>267206.98</v>
      </c>
      <c r="G2518" s="9"/>
    </row>
    <row r="2519" spans="2:7" ht="12.75">
      <c r="B2519" s="5"/>
      <c r="C2519" s="2" t="s">
        <v>13</v>
      </c>
      <c r="D2519" s="9"/>
      <c r="E2519" s="9"/>
      <c r="F2519" s="9">
        <f>F2518-F2517</f>
        <v>-16123.580000000016</v>
      </c>
      <c r="G2519" s="9"/>
    </row>
    <row r="2520" spans="2:7" ht="12.75">
      <c r="B2520" s="5">
        <v>3</v>
      </c>
      <c r="C2520" s="10" t="s">
        <v>14</v>
      </c>
      <c r="D2520" s="1" t="s">
        <v>15</v>
      </c>
      <c r="E2520" s="1"/>
      <c r="F2520" s="1" t="s">
        <v>15</v>
      </c>
      <c r="G2520" s="1"/>
    </row>
    <row r="2521" spans="2:7" ht="12.75">
      <c r="B2521" s="11" t="s">
        <v>16</v>
      </c>
      <c r="C2521" s="11"/>
      <c r="D2521" s="13">
        <v>38.3</v>
      </c>
      <c r="E2521" s="13">
        <f>D2521/1177.6/12*1000</f>
        <v>2.7103147644927534</v>
      </c>
      <c r="F2521" s="13">
        <v>38.3</v>
      </c>
      <c r="G2521" s="13">
        <f>F2521/1177.6/12*1000</f>
        <v>2.7103147644927534</v>
      </c>
    </row>
    <row r="2522" spans="2:7" ht="12.75" customHeight="1">
      <c r="B2522" s="14" t="s">
        <v>17</v>
      </c>
      <c r="C2522" s="14"/>
      <c r="D2522" s="1">
        <f>D2523+D2524+D2525</f>
        <v>79.3</v>
      </c>
      <c r="E2522" s="13">
        <f>D2522/1177.6/12*1000</f>
        <v>5.611696105072464</v>
      </c>
      <c r="F2522" s="12">
        <f>F2523+F2524+F2525</f>
        <v>125.49</v>
      </c>
      <c r="G2522" s="13">
        <f>F2522/1177.6/12*1000</f>
        <v>8.880349864130435</v>
      </c>
    </row>
    <row r="2523" spans="2:7" ht="12.75">
      <c r="B2523" s="2"/>
      <c r="C2523" s="15" t="s">
        <v>18</v>
      </c>
      <c r="D2523" s="9">
        <v>61.5</v>
      </c>
      <c r="E2523" s="13">
        <f>D2523/1177.6/12*1000</f>
        <v>4.352072010869565</v>
      </c>
      <c r="F2523" s="9">
        <f>22.61+31.08+37.8</f>
        <v>91.49</v>
      </c>
      <c r="G2523" s="13">
        <f>F2523/1177.6/12*1000</f>
        <v>6.474326313405797</v>
      </c>
    </row>
    <row r="2524" spans="2:7" ht="12.75">
      <c r="B2524" s="2"/>
      <c r="C2524" s="15" t="s">
        <v>19</v>
      </c>
      <c r="D2524" s="18">
        <v>17.8</v>
      </c>
      <c r="E2524" s="13">
        <f>D2524/1177.6/12*1000</f>
        <v>1.2596240942028987</v>
      </c>
      <c r="F2524" s="45">
        <v>34</v>
      </c>
      <c r="G2524" s="13">
        <f>F2524/1177.6/12*1000</f>
        <v>2.406023550724638</v>
      </c>
    </row>
    <row r="2525" spans="2:7" ht="12.75">
      <c r="B2525" s="32" t="s">
        <v>20</v>
      </c>
      <c r="C2525" s="32"/>
      <c r="D2525" s="18">
        <v>0</v>
      </c>
      <c r="E2525" s="13">
        <f>D2525/1177.6/12*1000</f>
        <v>0</v>
      </c>
      <c r="F2525" s="18">
        <v>0</v>
      </c>
      <c r="G2525" s="13">
        <f>F2525/1177.6/12*1000</f>
        <v>0</v>
      </c>
    </row>
    <row r="2526" spans="2:7" ht="12.75" customHeight="1">
      <c r="B2526" s="19" t="s">
        <v>21</v>
      </c>
      <c r="C2526" s="19"/>
      <c r="D2526" s="13">
        <f>D2527+D2529+D2528</f>
        <v>88.24</v>
      </c>
      <c r="E2526" s="13">
        <f>D2526/1177.6/12*1000</f>
        <v>6.2443387681159415</v>
      </c>
      <c r="F2526" s="13">
        <f>F2527+F2529+F2528</f>
        <v>11.45</v>
      </c>
      <c r="G2526" s="13">
        <f>F2526/1177.6/12*1000</f>
        <v>0.8102638134057971</v>
      </c>
    </row>
    <row r="2527" spans="2:7" ht="12.75">
      <c r="B2527" s="2"/>
      <c r="C2527" s="15" t="s">
        <v>156</v>
      </c>
      <c r="D2527" s="9">
        <v>74</v>
      </c>
      <c r="E2527" s="13">
        <f>D2527/1177.6/12*1000</f>
        <v>5.236639492753624</v>
      </c>
      <c r="F2527" s="8">
        <v>8.35</v>
      </c>
      <c r="G2527" s="13">
        <f>F2527/1177.6/12*1000</f>
        <v>0.5908910778985508</v>
      </c>
    </row>
    <row r="2528" spans="2:7" ht="12.75">
      <c r="B2528" s="2"/>
      <c r="C2528" s="15" t="s">
        <v>23</v>
      </c>
      <c r="D2528" s="9">
        <v>13.14</v>
      </c>
      <c r="E2528" s="13">
        <f>D2528/1177.6/12*1000</f>
        <v>0.9298573369565218</v>
      </c>
      <c r="F2528" s="9">
        <v>3.1</v>
      </c>
      <c r="G2528" s="13">
        <f>F2528/1177.6/12*1000</f>
        <v>0.2193727355072464</v>
      </c>
    </row>
    <row r="2529" spans="2:7" ht="12.75">
      <c r="B2529" s="2"/>
      <c r="C2529" s="20" t="s">
        <v>24</v>
      </c>
      <c r="D2529" s="9">
        <v>1.1</v>
      </c>
      <c r="E2529" s="13">
        <f>D2529/1177.6/12*1000</f>
        <v>0.0778419384057971</v>
      </c>
      <c r="F2529" s="9">
        <v>0</v>
      </c>
      <c r="G2529" s="13">
        <f>F2529/1177.6/12*1000</f>
        <v>0</v>
      </c>
    </row>
    <row r="2530" spans="2:7" ht="12.75">
      <c r="B2530" s="11" t="s">
        <v>25</v>
      </c>
      <c r="C2530" s="11"/>
      <c r="D2530" s="13">
        <v>8.34</v>
      </c>
      <c r="E2530" s="13">
        <f>D2530/1177.6/12*1000</f>
        <v>0.5901834239130436</v>
      </c>
      <c r="F2530" s="13">
        <v>8</v>
      </c>
      <c r="G2530" s="13">
        <f>F2530/1177.6/12*1000</f>
        <v>0.5661231884057971</v>
      </c>
    </row>
    <row r="2531" spans="2:7" ht="12.75">
      <c r="B2531" s="21" t="s">
        <v>26</v>
      </c>
      <c r="C2531" s="21"/>
      <c r="D2531" s="13">
        <v>43.66</v>
      </c>
      <c r="E2531" s="13">
        <f>D2531/1177.6/12*1000</f>
        <v>3.0896173007246377</v>
      </c>
      <c r="F2531" s="1">
        <f>36.3</f>
        <v>36.3</v>
      </c>
      <c r="G2531" s="13">
        <f>F2531/1177.6/12*1000</f>
        <v>2.5687839673913047</v>
      </c>
    </row>
    <row r="2532" spans="2:7" ht="12.75">
      <c r="B2532" s="2"/>
      <c r="C2532" s="10" t="s">
        <v>28</v>
      </c>
      <c r="D2532" s="12">
        <f>D2521+D2522+D2526+D2530+D2531</f>
        <v>257.84</v>
      </c>
      <c r="E2532" s="12">
        <f>E2521+E2522+E2526+E2530+E2531</f>
        <v>18.24615036231884</v>
      </c>
      <c r="F2532" s="12">
        <f>F2521+F2522+F2526+F2530+F2531</f>
        <v>219.53999999999996</v>
      </c>
      <c r="G2532" s="13">
        <f>G2521+G2522+G2526+G2530+G2531</f>
        <v>15.535835597826088</v>
      </c>
    </row>
    <row r="2533" spans="2:7" ht="12.75">
      <c r="B2533" s="2">
        <v>4</v>
      </c>
      <c r="C2533" s="10" t="s">
        <v>29</v>
      </c>
      <c r="D2533" s="13">
        <v>25.77</v>
      </c>
      <c r="E2533" s="12">
        <v>1.8</v>
      </c>
      <c r="F2533" s="12"/>
      <c r="G2533" s="12"/>
    </row>
    <row r="2534" spans="2:7" ht="12.75">
      <c r="B2534" s="5">
        <v>5</v>
      </c>
      <c r="C2534" s="10" t="s">
        <v>13</v>
      </c>
      <c r="D2534" s="13">
        <f>D2532+D2533</f>
        <v>283.60999999999996</v>
      </c>
      <c r="E2534" s="13">
        <f>E2532+E2533</f>
        <v>20.04615036231884</v>
      </c>
      <c r="F2534" s="13">
        <f>F2532-F2518/1000</f>
        <v>-47.666980000000024</v>
      </c>
      <c r="G2534" s="13"/>
    </row>
    <row r="2535" spans="2:7" ht="12.75">
      <c r="B2535" s="5"/>
      <c r="C2535" s="10"/>
      <c r="D2535" s="13"/>
      <c r="E2535" s="13"/>
      <c r="F2535" s="13"/>
      <c r="G2535" s="13"/>
    </row>
    <row r="2536" spans="2:7" ht="12.75">
      <c r="B2536" s="5"/>
      <c r="C2536" s="14" t="s">
        <v>147</v>
      </c>
      <c r="D2536" s="13"/>
      <c r="E2536" s="13"/>
      <c r="F2536" s="37">
        <v>-436.9</v>
      </c>
      <c r="G2536" s="13"/>
    </row>
    <row r="2537" spans="2:7" ht="12.75">
      <c r="B2537" s="23" t="s">
        <v>39</v>
      </c>
      <c r="C2537" s="23"/>
      <c r="D2537" s="23"/>
      <c r="E2537" s="23"/>
      <c r="F2537" s="23"/>
      <c r="G2537" s="23"/>
    </row>
    <row r="2539" spans="2:7" ht="12.75">
      <c r="B2539" s="1" t="s">
        <v>0</v>
      </c>
      <c r="C2539" s="1"/>
      <c r="D2539" s="1"/>
      <c r="E2539" s="1"/>
      <c r="F2539" s="1"/>
      <c r="G2539" s="1"/>
    </row>
    <row r="2540" spans="2:7" ht="12.75">
      <c r="B2540" s="1" t="s">
        <v>46</v>
      </c>
      <c r="C2540" s="1"/>
      <c r="D2540" s="1"/>
      <c r="E2540" s="1"/>
      <c r="F2540" s="1"/>
      <c r="G2540" s="1"/>
    </row>
    <row r="2541" spans="2:7" ht="12.75">
      <c r="B2541" s="1" t="s">
        <v>157</v>
      </c>
      <c r="C2541" s="1"/>
      <c r="D2541" s="1"/>
      <c r="E2541" s="1"/>
      <c r="F2541" s="1"/>
      <c r="G2541" s="1"/>
    </row>
    <row r="2542" spans="2:7" ht="12.75" customHeight="1">
      <c r="B2542" s="2"/>
      <c r="C2542" s="2" t="s">
        <v>3</v>
      </c>
      <c r="D2542" s="3" t="s">
        <v>41</v>
      </c>
      <c r="E2542" s="3"/>
      <c r="F2542" s="4" t="s">
        <v>109</v>
      </c>
      <c r="G2542" s="4"/>
    </row>
    <row r="2543" spans="2:7" ht="12.75">
      <c r="B2543" s="2"/>
      <c r="C2543" s="2"/>
      <c r="D2543" s="3" t="s">
        <v>6</v>
      </c>
      <c r="E2543" s="3" t="s">
        <v>7</v>
      </c>
      <c r="F2543" s="3" t="s">
        <v>6</v>
      </c>
      <c r="G2543" s="3" t="s">
        <v>8</v>
      </c>
    </row>
    <row r="2544" spans="2:7" ht="12.75">
      <c r="B2544" s="5">
        <v>1</v>
      </c>
      <c r="C2544" s="6" t="s">
        <v>9</v>
      </c>
      <c r="D2544" s="13">
        <v>1613.9</v>
      </c>
      <c r="E2544" s="13"/>
      <c r="F2544" s="13">
        <v>1613.9</v>
      </c>
      <c r="G2544" s="13"/>
    </row>
    <row r="2545" spans="2:7" ht="12.75">
      <c r="B2545" s="5">
        <v>2</v>
      </c>
      <c r="C2545" s="7" t="s">
        <v>158</v>
      </c>
      <c r="D2545" s="8"/>
      <c r="E2545" s="8"/>
      <c r="F2545" s="8" t="s">
        <v>3</v>
      </c>
      <c r="G2545" s="8"/>
    </row>
    <row r="2546" spans="2:7" ht="12.75">
      <c r="B2546" s="5"/>
      <c r="C2546" s="34" t="s">
        <v>154</v>
      </c>
      <c r="D2546" s="9"/>
      <c r="E2546" s="9"/>
      <c r="F2546" s="9">
        <v>388304.34</v>
      </c>
      <c r="G2546" s="9"/>
    </row>
    <row r="2547" spans="2:7" ht="12.75">
      <c r="B2547" s="5"/>
      <c r="C2547" s="34" t="s">
        <v>159</v>
      </c>
      <c r="D2547" s="9"/>
      <c r="E2547" s="9"/>
      <c r="F2547" s="9">
        <v>400290.32</v>
      </c>
      <c r="G2547" s="9"/>
    </row>
    <row r="2548" spans="2:7" ht="12.75">
      <c r="B2548" s="5"/>
      <c r="C2548" s="2" t="s">
        <v>13</v>
      </c>
      <c r="D2548" s="9"/>
      <c r="E2548" s="9"/>
      <c r="F2548" s="9">
        <f>F2547-F2546</f>
        <v>11985.979999999981</v>
      </c>
      <c r="G2548" s="9"/>
    </row>
    <row r="2549" spans="2:7" ht="12.75">
      <c r="B2549" s="5">
        <v>3</v>
      </c>
      <c r="C2549" s="10" t="s">
        <v>14</v>
      </c>
      <c r="D2549" s="1" t="s">
        <v>15</v>
      </c>
      <c r="E2549" s="1"/>
      <c r="F2549" s="1" t="s">
        <v>15</v>
      </c>
      <c r="G2549" s="1"/>
    </row>
    <row r="2550" spans="2:7" ht="12.75">
      <c r="B2550" s="11" t="s">
        <v>16</v>
      </c>
      <c r="C2550" s="11"/>
      <c r="D2550" s="13">
        <v>52.5</v>
      </c>
      <c r="E2550" s="13">
        <f>D2550/1613.9/12*1000</f>
        <v>2.7108247103290166</v>
      </c>
      <c r="F2550" s="13">
        <v>52.4</v>
      </c>
      <c r="G2550" s="13">
        <f>F2550/1613.9/12*1000</f>
        <v>2.7056612346902944</v>
      </c>
    </row>
    <row r="2551" spans="2:7" ht="12.75" customHeight="1">
      <c r="B2551" s="14" t="s">
        <v>17</v>
      </c>
      <c r="C2551" s="14"/>
      <c r="D2551" s="1">
        <f>D2552+D2553+D2554</f>
        <v>108.69999999999999</v>
      </c>
      <c r="E2551" s="13">
        <f>D2551/1613.9/12*1000</f>
        <v>5.612698019290744</v>
      </c>
      <c r="F2551" s="12">
        <f>F2552+F2553+F2554</f>
        <v>124.15</v>
      </c>
      <c r="G2551" s="13">
        <f>F2551/1613.9/12*1000</f>
        <v>6.410455005473284</v>
      </c>
    </row>
    <row r="2552" spans="2:7" ht="12.75">
      <c r="B2552" s="2"/>
      <c r="C2552" s="15" t="s">
        <v>18</v>
      </c>
      <c r="D2552" s="9">
        <v>84.3</v>
      </c>
      <c r="E2552" s="13">
        <f>D2552/1613.9/12*1000</f>
        <v>4.352809963442592</v>
      </c>
      <c r="F2552" s="9">
        <f>31+6.8+51.85</f>
        <v>89.65</v>
      </c>
      <c r="G2552" s="13">
        <f>F2552/1613.9/12*1000</f>
        <v>4.629055910114216</v>
      </c>
    </row>
    <row r="2553" spans="2:7" ht="12.75">
      <c r="B2553" s="2"/>
      <c r="C2553" s="15" t="s">
        <v>19</v>
      </c>
      <c r="D2553" s="18">
        <v>24.4</v>
      </c>
      <c r="E2553" s="13">
        <f>D2553/1613.9/12*1000</f>
        <v>1.2598880558481522</v>
      </c>
      <c r="F2553" s="45">
        <v>28.9</v>
      </c>
      <c r="G2553" s="13">
        <f>F2553/1613.9/12*1000</f>
        <v>1.4922444595906394</v>
      </c>
    </row>
    <row r="2554" spans="2:7" ht="12.75">
      <c r="B2554" s="32" t="s">
        <v>20</v>
      </c>
      <c r="C2554" s="32"/>
      <c r="D2554" s="18">
        <v>0</v>
      </c>
      <c r="E2554" s="13">
        <f>D2554/1613.9/12*1000</f>
        <v>0</v>
      </c>
      <c r="F2554" s="18">
        <v>5.6</v>
      </c>
      <c r="G2554" s="13">
        <f>F2554/1613.9/12*1000</f>
        <v>0.2891546357684284</v>
      </c>
    </row>
    <row r="2555" spans="2:7" ht="12.75" customHeight="1">
      <c r="B2555" s="19" t="s">
        <v>21</v>
      </c>
      <c r="C2555" s="19"/>
      <c r="D2555" s="13">
        <f>D2556+D2558+D2557</f>
        <v>121.05</v>
      </c>
      <c r="E2555" s="13">
        <f>D2555/1613.9/12*1000</f>
        <v>6.250387260672904</v>
      </c>
      <c r="F2555" s="13">
        <f>F2556+F2558+F2557</f>
        <v>128.79999999999998</v>
      </c>
      <c r="G2555" s="13">
        <f>F2555/1613.9/12*1000</f>
        <v>6.650556622673853</v>
      </c>
    </row>
    <row r="2556" spans="2:7" ht="12.75">
      <c r="B2556" s="2"/>
      <c r="C2556" s="15" t="s">
        <v>22</v>
      </c>
      <c r="D2556" s="9">
        <v>101.5</v>
      </c>
      <c r="E2556" s="13">
        <f>D2556/1613.9/12*1000</f>
        <v>5.240927773302765</v>
      </c>
      <c r="F2556" s="8">
        <f>72.37+22.07+3.16+9.76+1.3+4.46+9.87+0.16+1.13</f>
        <v>124.27999999999999</v>
      </c>
      <c r="G2556" s="13">
        <f>F2556/1613.9/12*1000</f>
        <v>6.417167523803621</v>
      </c>
    </row>
    <row r="2557" spans="2:7" ht="12.75">
      <c r="B2557" s="2"/>
      <c r="C2557" s="15" t="s">
        <v>23</v>
      </c>
      <c r="D2557" s="9">
        <v>18</v>
      </c>
      <c r="E2557" s="13">
        <f>D2557/1613.9/12*1000</f>
        <v>0.9294256149699486</v>
      </c>
      <c r="F2557" s="9">
        <v>3.52</v>
      </c>
      <c r="G2557" s="13">
        <f>F2557/1613.9/12*1000</f>
        <v>0.18175434248301214</v>
      </c>
    </row>
    <row r="2558" spans="2:7" ht="12.75">
      <c r="B2558" s="2"/>
      <c r="C2558" s="20" t="s">
        <v>24</v>
      </c>
      <c r="D2558" s="9">
        <v>1.55</v>
      </c>
      <c r="E2558" s="13">
        <f>D2558/1613.9/12*1000</f>
        <v>0.08003387240019001</v>
      </c>
      <c r="F2558" s="9">
        <v>1</v>
      </c>
      <c r="G2558" s="13">
        <f>F2558/1613.9/12*1000</f>
        <v>0.05163475638721936</v>
      </c>
    </row>
    <row r="2559" spans="2:7" ht="12.75">
      <c r="B2559" s="11" t="s">
        <v>25</v>
      </c>
      <c r="C2559" s="11"/>
      <c r="D2559" s="13">
        <v>11.43</v>
      </c>
      <c r="E2559" s="13">
        <f>D2559/1613.9/12*1000</f>
        <v>0.5901852655059173</v>
      </c>
      <c r="F2559" s="13">
        <v>11.94</v>
      </c>
      <c r="G2559" s="13">
        <f>F2559/1613.9/12*1000</f>
        <v>0.616518991263399</v>
      </c>
    </row>
    <row r="2560" spans="2:7" ht="12.75">
      <c r="B2560" s="21" t="s">
        <v>26</v>
      </c>
      <c r="C2560" s="21"/>
      <c r="D2560" s="13">
        <v>59.8</v>
      </c>
      <c r="E2560" s="13">
        <f>D2560/1613.9/12*1000</f>
        <v>3.0877584319557174</v>
      </c>
      <c r="F2560" s="1">
        <f>10.85+49.77</f>
        <v>60.620000000000005</v>
      </c>
      <c r="G2560" s="13">
        <f>F2560/1613.9/12*1000</f>
        <v>3.1300989321932384</v>
      </c>
    </row>
    <row r="2561" spans="2:7" ht="12.75">
      <c r="B2561" s="2"/>
      <c r="C2561" s="10" t="s">
        <v>28</v>
      </c>
      <c r="D2561" s="12">
        <f>D2550+D2551+D2555+D2559+D2560</f>
        <v>353.48</v>
      </c>
      <c r="E2561" s="12">
        <f>E2550+E2551+E2555+E2559+E2560</f>
        <v>18.2518536877543</v>
      </c>
      <c r="F2561" s="12">
        <f>F2550+F2551+F2555+F2559+F2560</f>
        <v>377.91</v>
      </c>
      <c r="G2561" s="13">
        <f>G2550+G2551+G2555+G2559+G2560</f>
        <v>19.513290786294068</v>
      </c>
    </row>
    <row r="2562" spans="2:7" ht="12.75">
      <c r="B2562" s="2">
        <v>4</v>
      </c>
      <c r="C2562" s="10" t="s">
        <v>29</v>
      </c>
      <c r="D2562" s="13">
        <v>35.3</v>
      </c>
      <c r="E2562" s="12">
        <v>1.8</v>
      </c>
      <c r="F2562" s="12"/>
      <c r="G2562" s="12"/>
    </row>
    <row r="2563" spans="2:7" ht="12.75">
      <c r="B2563" s="5">
        <v>5</v>
      </c>
      <c r="C2563" s="10" t="s">
        <v>13</v>
      </c>
      <c r="D2563" s="13">
        <f>D2561+D2562</f>
        <v>388.78000000000003</v>
      </c>
      <c r="E2563" s="13">
        <f>E2561+E2562</f>
        <v>20.0518536877543</v>
      </c>
      <c r="F2563" s="13">
        <f>F2561-F2547/1000</f>
        <v>-22.380319999999983</v>
      </c>
      <c r="G2563" s="13"/>
    </row>
    <row r="2564" spans="2:7" ht="12.75">
      <c r="B2564" s="5"/>
      <c r="C2564" s="10"/>
      <c r="D2564" s="13"/>
      <c r="E2564" s="13"/>
      <c r="F2564" s="13"/>
      <c r="G2564" s="13"/>
    </row>
    <row r="2565" spans="2:7" ht="12.75">
      <c r="B2565" s="5"/>
      <c r="C2565" s="14" t="s">
        <v>147</v>
      </c>
      <c r="D2565" s="13"/>
      <c r="E2565" s="13"/>
      <c r="F2565" s="37">
        <v>-177.1</v>
      </c>
      <c r="G2565" s="13"/>
    </row>
    <row r="2566" spans="2:7" ht="12.75">
      <c r="B2566" s="23" t="s">
        <v>39</v>
      </c>
      <c r="C2566" s="23"/>
      <c r="D2566" s="23"/>
      <c r="E2566" s="23"/>
      <c r="F2566" s="23"/>
      <c r="G2566" s="23"/>
    </row>
    <row r="2568" spans="2:7" ht="12.75">
      <c r="B2568" s="1" t="s">
        <v>0</v>
      </c>
      <c r="C2568" s="1"/>
      <c r="D2568" s="1"/>
      <c r="E2568" s="1"/>
      <c r="F2568" s="1"/>
      <c r="G2568" s="1"/>
    </row>
    <row r="2569" spans="2:7" ht="12.75">
      <c r="B2569" s="1" t="s">
        <v>51</v>
      </c>
      <c r="C2569" s="1"/>
      <c r="D2569" s="1"/>
      <c r="E2569" s="1"/>
      <c r="F2569" s="1"/>
      <c r="G2569" s="1"/>
    </row>
    <row r="2570" spans="2:7" ht="12.75">
      <c r="B2570" s="1" t="s">
        <v>160</v>
      </c>
      <c r="C2570" s="1"/>
      <c r="D2570" s="1"/>
      <c r="E2570" s="1"/>
      <c r="F2570" s="1"/>
      <c r="G2570" s="1"/>
    </row>
    <row r="2571" spans="2:7" ht="12.75" customHeight="1">
      <c r="B2571" s="2"/>
      <c r="C2571" s="2" t="s">
        <v>3</v>
      </c>
      <c r="D2571" s="3" t="s">
        <v>41</v>
      </c>
      <c r="E2571" s="3"/>
      <c r="F2571" s="4" t="s">
        <v>109</v>
      </c>
      <c r="G2571" s="4"/>
    </row>
    <row r="2572" spans="2:7" ht="12.75">
      <c r="B2572" s="2"/>
      <c r="C2572" s="2"/>
      <c r="D2572" s="3" t="s">
        <v>6</v>
      </c>
      <c r="E2572" s="3" t="s">
        <v>7</v>
      </c>
      <c r="F2572" s="3" t="s">
        <v>6</v>
      </c>
      <c r="G2572" s="3" t="s">
        <v>8</v>
      </c>
    </row>
    <row r="2573" spans="2:7" ht="12.75">
      <c r="B2573" s="5">
        <v>1</v>
      </c>
      <c r="C2573" s="6" t="s">
        <v>9</v>
      </c>
      <c r="D2573" s="13">
        <v>955.2</v>
      </c>
      <c r="E2573" s="13"/>
      <c r="F2573" s="13">
        <v>955.2</v>
      </c>
      <c r="G2573" s="13"/>
    </row>
    <row r="2574" spans="2:7" ht="12.75">
      <c r="B2574" s="5">
        <v>2</v>
      </c>
      <c r="C2574" s="7" t="s">
        <v>158</v>
      </c>
      <c r="D2574" s="8"/>
      <c r="E2574" s="8"/>
      <c r="F2574" s="8" t="s">
        <v>3</v>
      </c>
      <c r="G2574" s="8"/>
    </row>
    <row r="2575" spans="2:7" ht="12.75">
      <c r="B2575" s="5"/>
      <c r="C2575" s="34" t="s">
        <v>154</v>
      </c>
      <c r="D2575" s="9"/>
      <c r="E2575" s="9"/>
      <c r="F2575" s="9">
        <v>224662.92</v>
      </c>
      <c r="G2575" s="9"/>
    </row>
    <row r="2576" spans="2:7" ht="12.75">
      <c r="B2576" s="5"/>
      <c r="C2576" s="34" t="s">
        <v>159</v>
      </c>
      <c r="D2576" s="9"/>
      <c r="E2576" s="9"/>
      <c r="F2576" s="9">
        <v>232388.74</v>
      </c>
      <c r="G2576" s="9"/>
    </row>
    <row r="2577" spans="2:7" ht="12.75">
      <c r="B2577" s="5"/>
      <c r="C2577" s="2" t="s">
        <v>13</v>
      </c>
      <c r="D2577" s="9"/>
      <c r="E2577" s="9"/>
      <c r="F2577" s="9">
        <f>F2576-F2575</f>
        <v>7725.819999999978</v>
      </c>
      <c r="G2577" s="9"/>
    </row>
    <row r="2578" spans="2:7" ht="12.75">
      <c r="B2578" s="5">
        <v>3</v>
      </c>
      <c r="C2578" s="10" t="s">
        <v>14</v>
      </c>
      <c r="D2578" s="1" t="s">
        <v>15</v>
      </c>
      <c r="E2578" s="1"/>
      <c r="F2578" s="1" t="s">
        <v>15</v>
      </c>
      <c r="G2578" s="1"/>
    </row>
    <row r="2579" spans="2:7" ht="12.75">
      <c r="B2579" s="11" t="s">
        <v>16</v>
      </c>
      <c r="C2579" s="11"/>
      <c r="D2579" s="13">
        <v>30.35</v>
      </c>
      <c r="E2579" s="13">
        <f>D2579/955.2/12*1000</f>
        <v>2.6477875488553884</v>
      </c>
      <c r="F2579" s="13">
        <v>30.33</v>
      </c>
      <c r="G2579" s="13">
        <f>F2579/955.2/12*1000</f>
        <v>2.6460427135678395</v>
      </c>
    </row>
    <row r="2580" spans="2:7" ht="12.75" customHeight="1">
      <c r="B2580" s="14" t="s">
        <v>17</v>
      </c>
      <c r="C2580" s="14"/>
      <c r="D2580" s="1">
        <f>D2581+D2582+D2583</f>
        <v>60.2</v>
      </c>
      <c r="E2580" s="13">
        <f>D2580/955.2/12*1000</f>
        <v>5.251954215522055</v>
      </c>
      <c r="F2580" s="12">
        <f>F2581+F2582+F2583</f>
        <v>62.04</v>
      </c>
      <c r="G2580" s="13">
        <f>F2580/955.2/12*1000</f>
        <v>5.4124790619765495</v>
      </c>
    </row>
    <row r="2581" spans="2:7" ht="12.75">
      <c r="B2581" s="2"/>
      <c r="C2581" s="15" t="s">
        <v>18</v>
      </c>
      <c r="D2581" s="9">
        <v>49.9</v>
      </c>
      <c r="E2581" s="13">
        <f>D2581/955.2/12*1000</f>
        <v>4.353364042434394</v>
      </c>
      <c r="F2581" s="9">
        <f>18.34+6.21+30.69</f>
        <v>55.24</v>
      </c>
      <c r="G2581" s="13">
        <f>F2581/955.2/12*1000</f>
        <v>4.819235064209939</v>
      </c>
    </row>
    <row r="2582" spans="2:7" ht="12.75">
      <c r="B2582" s="2"/>
      <c r="C2582" s="15" t="s">
        <v>19</v>
      </c>
      <c r="D2582" s="18">
        <v>10.3</v>
      </c>
      <c r="E2582" s="13">
        <f>D2582/955.2/12*1000</f>
        <v>0.8985901730876605</v>
      </c>
      <c r="F2582" s="45">
        <v>6.8</v>
      </c>
      <c r="G2582" s="13">
        <f>F2582/955.2/12*1000</f>
        <v>0.5932439977666107</v>
      </c>
    </row>
    <row r="2583" spans="2:7" ht="12.75">
      <c r="B2583" s="32" t="s">
        <v>20</v>
      </c>
      <c r="C2583" s="32"/>
      <c r="D2583" s="18">
        <v>0</v>
      </c>
      <c r="E2583" s="13">
        <f>D2583/955.2/12*1000</f>
        <v>0</v>
      </c>
      <c r="F2583" s="18">
        <v>0</v>
      </c>
      <c r="G2583" s="13">
        <f>F2583/955.2/12*1000</f>
        <v>0</v>
      </c>
    </row>
    <row r="2584" spans="2:7" ht="12.75" customHeight="1">
      <c r="B2584" s="19" t="s">
        <v>21</v>
      </c>
      <c r="C2584" s="19"/>
      <c r="D2584" s="13">
        <f>D2585+D2587+D2586</f>
        <v>71.58</v>
      </c>
      <c r="E2584" s="13">
        <f>D2584/955.2/12*1000</f>
        <v>6.2447654941373525</v>
      </c>
      <c r="F2584" s="13">
        <f>F2585+F2587+F2586</f>
        <v>80.64999999999999</v>
      </c>
      <c r="G2584" s="13">
        <f>F2584/955.2/12*1000</f>
        <v>7.036048297040759</v>
      </c>
    </row>
    <row r="2585" spans="2:7" ht="12.75">
      <c r="B2585" s="2"/>
      <c r="C2585" s="15" t="s">
        <v>22</v>
      </c>
      <c r="D2585" s="9">
        <v>60</v>
      </c>
      <c r="E2585" s="13">
        <f>D2585/955.2/12*1000</f>
        <v>5.234505862646566</v>
      </c>
      <c r="F2585" s="8">
        <f>42.8+13.06+1.87+5.78+0.78+4.46+8+0.09+0.67</f>
        <v>77.50999999999999</v>
      </c>
      <c r="G2585" s="13">
        <f>F2585/955.2/12*1000</f>
        <v>6.762109156895588</v>
      </c>
    </row>
    <row r="2586" spans="2:7" ht="12.75">
      <c r="B2586" s="2"/>
      <c r="C2586" s="15" t="s">
        <v>23</v>
      </c>
      <c r="D2586" s="9">
        <v>10.66</v>
      </c>
      <c r="E2586" s="13">
        <f>D2586/955.2/12*1000</f>
        <v>0.9299972082635399</v>
      </c>
      <c r="F2586" s="9">
        <v>2.49</v>
      </c>
      <c r="G2586" s="13">
        <f>F2586/955.2/12*1000</f>
        <v>0.21723199329983248</v>
      </c>
    </row>
    <row r="2587" spans="2:7" ht="12.75">
      <c r="B2587" s="2"/>
      <c r="C2587" s="20" t="s">
        <v>24</v>
      </c>
      <c r="D2587" s="9">
        <v>0.92</v>
      </c>
      <c r="E2587" s="13">
        <f>D2587/955.2/12*1000</f>
        <v>0.08026242322724735</v>
      </c>
      <c r="F2587" s="9">
        <v>0.65</v>
      </c>
      <c r="G2587" s="13">
        <f>F2587/955.2/12*1000</f>
        <v>0.0567071468453378</v>
      </c>
    </row>
    <row r="2588" spans="2:7" ht="12.75">
      <c r="B2588" s="11" t="s">
        <v>25</v>
      </c>
      <c r="C2588" s="11"/>
      <c r="D2588" s="13">
        <v>6.74</v>
      </c>
      <c r="E2588" s="13">
        <f>D2588/955.2/12*1000</f>
        <v>0.5880094919039643</v>
      </c>
      <c r="F2588" s="13">
        <v>6.9</v>
      </c>
      <c r="G2588" s="13">
        <f>F2588/955.2/12*1000</f>
        <v>0.6019681742043551</v>
      </c>
    </row>
    <row r="2589" spans="2:7" ht="12.75">
      <c r="B2589" s="21" t="s">
        <v>26</v>
      </c>
      <c r="C2589" s="21"/>
      <c r="D2589" s="13">
        <v>35.42</v>
      </c>
      <c r="E2589" s="13">
        <f>D2589/955.2/12*1000</f>
        <v>3.090103294249023</v>
      </c>
      <c r="F2589" s="1">
        <f>6.42+29.5</f>
        <v>35.92</v>
      </c>
      <c r="G2589" s="13">
        <f>F2589/955.2/12*1000</f>
        <v>3.1337241764377444</v>
      </c>
    </row>
    <row r="2590" spans="2:7" ht="12.75">
      <c r="B2590" s="2"/>
      <c r="C2590" s="10" t="s">
        <v>28</v>
      </c>
      <c r="D2590" s="12">
        <f>D2579+D2580+D2584+D2588+D2589</f>
        <v>204.29000000000002</v>
      </c>
      <c r="E2590" s="12">
        <f>E2579+E2580+E2584+E2588+E2589</f>
        <v>17.822620044667783</v>
      </c>
      <c r="F2590" s="12">
        <f>F2579+F2580+F2584+F2588+F2589</f>
        <v>215.83999999999997</v>
      </c>
      <c r="G2590" s="13">
        <f>G2579+G2580+G2584+G2588+G2589</f>
        <v>18.830262423227246</v>
      </c>
    </row>
    <row r="2591" spans="2:7" ht="12.75">
      <c r="B2591" s="2">
        <v>4</v>
      </c>
      <c r="C2591" s="10" t="s">
        <v>29</v>
      </c>
      <c r="D2591" s="13">
        <v>20.43</v>
      </c>
      <c r="E2591" s="13">
        <v>1.78</v>
      </c>
      <c r="F2591" s="12"/>
      <c r="G2591" s="12"/>
    </row>
    <row r="2592" spans="2:7" ht="12.75">
      <c r="B2592" s="5">
        <v>5</v>
      </c>
      <c r="C2592" s="10" t="s">
        <v>13</v>
      </c>
      <c r="D2592" s="13">
        <f>D2590+D2591</f>
        <v>224.72000000000003</v>
      </c>
      <c r="E2592" s="13">
        <f>E2590+E2591</f>
        <v>19.602620044667784</v>
      </c>
      <c r="F2592" s="13">
        <f>F2590-F2576/1000</f>
        <v>-16.54874000000001</v>
      </c>
      <c r="G2592" s="13"/>
    </row>
    <row r="2593" spans="2:7" ht="12.75">
      <c r="B2593" s="5"/>
      <c r="C2593" s="10"/>
      <c r="D2593" s="13"/>
      <c r="E2593" s="13"/>
      <c r="F2593" s="13"/>
      <c r="G2593" s="13"/>
    </row>
    <row r="2594" spans="2:7" ht="12.75">
      <c r="B2594" s="5"/>
      <c r="C2594" s="14" t="s">
        <v>127</v>
      </c>
      <c r="D2594" s="13"/>
      <c r="E2594" s="13"/>
      <c r="F2594" s="37">
        <v>112.6</v>
      </c>
      <c r="G2594" s="13"/>
    </row>
    <row r="2595" spans="2:7" ht="12.75">
      <c r="B2595" s="23" t="s">
        <v>39</v>
      </c>
      <c r="C2595" s="23"/>
      <c r="D2595" s="23"/>
      <c r="E2595" s="23"/>
      <c r="F2595" s="23"/>
      <c r="G2595" s="23"/>
    </row>
    <row r="2597" spans="2:7" ht="12.75">
      <c r="B2597" s="1" t="s">
        <v>0</v>
      </c>
      <c r="C2597" s="1"/>
      <c r="D2597" s="1"/>
      <c r="E2597" s="1"/>
      <c r="F2597" s="1"/>
      <c r="G2597" s="1"/>
    </row>
    <row r="2598" spans="2:7" ht="12.75">
      <c r="B2598" s="1" t="s">
        <v>46</v>
      </c>
      <c r="C2598" s="1"/>
      <c r="D2598" s="1"/>
      <c r="E2598" s="1"/>
      <c r="F2598" s="1"/>
      <c r="G2598" s="1"/>
    </row>
    <row r="2599" spans="2:7" ht="12.75">
      <c r="B2599" s="1" t="s">
        <v>161</v>
      </c>
      <c r="C2599" s="1"/>
      <c r="D2599" s="1"/>
      <c r="E2599" s="1"/>
      <c r="F2599" s="1"/>
      <c r="G2599" s="1"/>
    </row>
    <row r="2600" spans="2:7" ht="12.75" customHeight="1">
      <c r="B2600" s="2"/>
      <c r="C2600" s="2" t="s">
        <v>3</v>
      </c>
      <c r="D2600" s="3" t="s">
        <v>41</v>
      </c>
      <c r="E2600" s="3"/>
      <c r="F2600" s="4" t="s">
        <v>109</v>
      </c>
      <c r="G2600" s="4"/>
    </row>
    <row r="2601" spans="2:7" ht="12.75">
      <c r="B2601" s="2"/>
      <c r="C2601" s="2"/>
      <c r="D2601" s="3" t="s">
        <v>6</v>
      </c>
      <c r="E2601" s="3" t="s">
        <v>7</v>
      </c>
      <c r="F2601" s="3" t="s">
        <v>6</v>
      </c>
      <c r="G2601" s="3" t="s">
        <v>8</v>
      </c>
    </row>
    <row r="2602" spans="2:7" ht="12.75">
      <c r="B2602" s="5">
        <v>1</v>
      </c>
      <c r="C2602" s="6" t="s">
        <v>9</v>
      </c>
      <c r="D2602" s="13">
        <v>914.5</v>
      </c>
      <c r="E2602" s="13"/>
      <c r="F2602" s="13">
        <v>914.5</v>
      </c>
      <c r="G2602" s="13"/>
    </row>
    <row r="2603" spans="2:7" ht="12.75">
      <c r="B2603" s="5">
        <v>2</v>
      </c>
      <c r="C2603" s="7" t="s">
        <v>158</v>
      </c>
      <c r="D2603" s="8"/>
      <c r="E2603" s="8"/>
      <c r="F2603" s="8" t="s">
        <v>3</v>
      </c>
      <c r="G2603" s="8"/>
    </row>
    <row r="2604" spans="2:7" ht="12.75">
      <c r="B2604" s="5"/>
      <c r="C2604" s="34" t="s">
        <v>154</v>
      </c>
      <c r="D2604" s="9"/>
      <c r="E2604" s="9"/>
      <c r="F2604" s="9">
        <v>220028.7</v>
      </c>
      <c r="G2604" s="9"/>
    </row>
    <row r="2605" spans="2:7" ht="12.75">
      <c r="B2605" s="5"/>
      <c r="C2605" s="34" t="s">
        <v>159</v>
      </c>
      <c r="D2605" s="9"/>
      <c r="E2605" s="9"/>
      <c r="F2605" s="9">
        <v>223711.54</v>
      </c>
      <c r="G2605" s="9"/>
    </row>
    <row r="2606" spans="2:7" ht="12.75">
      <c r="B2606" s="5"/>
      <c r="C2606" s="2" t="s">
        <v>13</v>
      </c>
      <c r="D2606" s="9"/>
      <c r="E2606" s="9"/>
      <c r="F2606" s="9">
        <f>F2605-F2604</f>
        <v>3682.8399999999965</v>
      </c>
      <c r="G2606" s="9"/>
    </row>
    <row r="2607" spans="2:7" ht="12.75">
      <c r="B2607" s="5">
        <v>3</v>
      </c>
      <c r="C2607" s="10" t="s">
        <v>14</v>
      </c>
      <c r="D2607" s="1" t="s">
        <v>15</v>
      </c>
      <c r="E2607" s="1"/>
      <c r="F2607" s="1" t="s">
        <v>15</v>
      </c>
      <c r="G2607" s="1"/>
    </row>
    <row r="2608" spans="2:7" ht="12.75">
      <c r="B2608" s="11" t="s">
        <v>16</v>
      </c>
      <c r="C2608" s="11"/>
      <c r="D2608" s="13">
        <v>29.7</v>
      </c>
      <c r="E2608" s="13">
        <f>D2608/914.5/12*1000</f>
        <v>2.706396938217605</v>
      </c>
      <c r="F2608" s="13">
        <v>29.7</v>
      </c>
      <c r="G2608" s="13">
        <f>F2608/914.5/12*1000</f>
        <v>2.706396938217605</v>
      </c>
    </row>
    <row r="2609" spans="2:7" ht="12.75" customHeight="1">
      <c r="B2609" s="14" t="s">
        <v>17</v>
      </c>
      <c r="C2609" s="14"/>
      <c r="D2609" s="1">
        <f>D2610+D2611+D2612</f>
        <v>61.4</v>
      </c>
      <c r="E2609" s="13">
        <f>D2609/914.5/12*1000</f>
        <v>5.595042828503736</v>
      </c>
      <c r="F2609" s="12">
        <f>F2610+F2611+F2612</f>
        <v>55.41</v>
      </c>
      <c r="G2609" s="13">
        <f>F2609/914.5/12*1000</f>
        <v>5.049207217058501</v>
      </c>
    </row>
    <row r="2610" spans="2:7" ht="12.75">
      <c r="B2610" s="2"/>
      <c r="C2610" s="15" t="s">
        <v>18</v>
      </c>
      <c r="D2610" s="9">
        <v>47.8</v>
      </c>
      <c r="E2610" s="13">
        <f>D2610/914.5/12*1000</f>
        <v>4.355749954437761</v>
      </c>
      <c r="F2610" s="9">
        <f>17.56+6.17+29.38</f>
        <v>53.11</v>
      </c>
      <c r="G2610" s="13">
        <f>F2610/914.5/12*1000</f>
        <v>4.839620922179697</v>
      </c>
    </row>
    <row r="2611" spans="2:7" ht="12.75">
      <c r="B2611" s="2"/>
      <c r="C2611" s="15" t="s">
        <v>19</v>
      </c>
      <c r="D2611" s="18">
        <v>13.6</v>
      </c>
      <c r="E2611" s="13">
        <f>D2611/914.5/12*1000</f>
        <v>1.239292874065974</v>
      </c>
      <c r="F2611" s="45">
        <v>2.3</v>
      </c>
      <c r="G2611" s="13">
        <f>F2611/914.5/12*1000</f>
        <v>0.20958629487880442</v>
      </c>
    </row>
    <row r="2612" spans="2:7" ht="12.75">
      <c r="B2612" s="32" t="s">
        <v>20</v>
      </c>
      <c r="C2612" s="32"/>
      <c r="D2612" s="18">
        <v>0</v>
      </c>
      <c r="E2612" s="13">
        <f>D2612/914.5/12*1000</f>
        <v>0</v>
      </c>
      <c r="F2612" s="18">
        <v>0</v>
      </c>
      <c r="G2612" s="13">
        <f>F2612/914.5/12*1000</f>
        <v>0</v>
      </c>
    </row>
    <row r="2613" spans="2:7" ht="12.75" customHeight="1">
      <c r="B2613" s="19" t="s">
        <v>21</v>
      </c>
      <c r="C2613" s="19"/>
      <c r="D2613" s="13">
        <f>D2614+D2616+D2615</f>
        <v>68.58</v>
      </c>
      <c r="E2613" s="13">
        <f>D2613/914.5/12*1000</f>
        <v>6.249316566429742</v>
      </c>
      <c r="F2613" s="13">
        <f>F2614+F2616+F2615</f>
        <v>82.38000000000001</v>
      </c>
      <c r="G2613" s="13">
        <f>F2613/914.5/12*1000</f>
        <v>7.50683433570257</v>
      </c>
    </row>
    <row r="2614" spans="2:7" ht="12.75">
      <c r="B2614" s="2"/>
      <c r="C2614" s="15" t="s">
        <v>22</v>
      </c>
      <c r="D2614" s="9">
        <v>57.5</v>
      </c>
      <c r="E2614" s="13">
        <f>D2614/914.5/12*1000</f>
        <v>5.239657371970112</v>
      </c>
      <c r="F2614" s="8">
        <f>41+12.5+1.8+5.53+0.74+11.63+4.55+0.09+0.64</f>
        <v>78.48</v>
      </c>
      <c r="G2614" s="13">
        <f>F2614/914.5/12*1000</f>
        <v>7.151448879168945</v>
      </c>
    </row>
    <row r="2615" spans="2:7" ht="12.75">
      <c r="B2615" s="2"/>
      <c r="C2615" s="15" t="s">
        <v>23</v>
      </c>
      <c r="D2615" s="9">
        <v>10.2</v>
      </c>
      <c r="E2615" s="13">
        <f>D2615/914.5/12*1000</f>
        <v>0.9294696555494805</v>
      </c>
      <c r="F2615" s="9">
        <v>3.25</v>
      </c>
      <c r="G2615" s="13">
        <f>F2615/914.5/12*1000</f>
        <v>0.2961545471113541</v>
      </c>
    </row>
    <row r="2616" spans="2:7" ht="12.75">
      <c r="B2616" s="2"/>
      <c r="C2616" s="20" t="s">
        <v>24</v>
      </c>
      <c r="D2616" s="9">
        <v>0.88</v>
      </c>
      <c r="E2616" s="13">
        <f>D2616/914.5/12*1000</f>
        <v>0.08018953891015126</v>
      </c>
      <c r="F2616" s="9">
        <v>0.65</v>
      </c>
      <c r="G2616" s="13">
        <f>F2616/914.5/12*1000</f>
        <v>0.05923090942227082</v>
      </c>
    </row>
    <row r="2617" spans="2:7" ht="12.75">
      <c r="B2617" s="11" t="s">
        <v>25</v>
      </c>
      <c r="C2617" s="11"/>
      <c r="D2617" s="13">
        <v>6.47</v>
      </c>
      <c r="E2617" s="13">
        <f>D2617/914.5/12*1000</f>
        <v>0.5895753599416802</v>
      </c>
      <c r="F2617" s="13">
        <v>6.65</v>
      </c>
      <c r="G2617" s="13">
        <f>F2617/914.5/12*1000</f>
        <v>0.6059777656278477</v>
      </c>
    </row>
    <row r="2618" spans="2:7" ht="12.75">
      <c r="B2618" s="21" t="s">
        <v>26</v>
      </c>
      <c r="C2618" s="21"/>
      <c r="D2618" s="13">
        <v>33.9</v>
      </c>
      <c r="E2618" s="13">
        <f>D2618/914.5/12*1000</f>
        <v>3.0891197375615094</v>
      </c>
      <c r="F2618" s="1">
        <f>6.15+28.2</f>
        <v>34.35</v>
      </c>
      <c r="G2618" s="13">
        <f>F2618/914.5/12*1000</f>
        <v>3.130125751776928</v>
      </c>
    </row>
    <row r="2619" spans="2:7" ht="12.75">
      <c r="B2619" s="2"/>
      <c r="C2619" s="10" t="s">
        <v>28</v>
      </c>
      <c r="D2619" s="12">
        <f>D2608+D2609+D2613+D2617+D2618</f>
        <v>200.05</v>
      </c>
      <c r="E2619" s="12">
        <f>E2608+E2609+E2613+E2617+E2618</f>
        <v>18.229451430654272</v>
      </c>
      <c r="F2619" s="12">
        <f>F2608+F2609+F2613+F2617+F2618</f>
        <v>208.49</v>
      </c>
      <c r="G2619" s="13">
        <f>G2608+G2609+G2613+G2617+G2618</f>
        <v>18.998542008383453</v>
      </c>
    </row>
    <row r="2620" spans="2:7" ht="12.75">
      <c r="B2620" s="2">
        <v>4</v>
      </c>
      <c r="C2620" s="10" t="s">
        <v>29</v>
      </c>
      <c r="D2620" s="13">
        <v>20</v>
      </c>
      <c r="E2620" s="13">
        <v>1.82</v>
      </c>
      <c r="F2620" s="12"/>
      <c r="G2620" s="12"/>
    </row>
    <row r="2621" spans="2:7" ht="12.75">
      <c r="B2621" s="5">
        <v>5</v>
      </c>
      <c r="C2621" s="10" t="s">
        <v>13</v>
      </c>
      <c r="D2621" s="13">
        <f>D2619+D2620</f>
        <v>220.05</v>
      </c>
      <c r="E2621" s="13">
        <f>E2619+E2620</f>
        <v>20.049451430654273</v>
      </c>
      <c r="F2621" s="13">
        <f>F2619-F2605/1000</f>
        <v>-15.221540000000005</v>
      </c>
      <c r="G2621" s="13"/>
    </row>
    <row r="2622" spans="2:7" ht="12.75">
      <c r="B2622" s="5"/>
      <c r="C2622" s="10"/>
      <c r="D2622" s="13"/>
      <c r="E2622" s="13"/>
      <c r="F2622" s="13"/>
      <c r="G2622" s="13"/>
    </row>
    <row r="2623" spans="2:7" ht="12.75">
      <c r="B2623" s="5"/>
      <c r="C2623" s="14" t="s">
        <v>127</v>
      </c>
      <c r="D2623" s="13"/>
      <c r="E2623" s="13"/>
      <c r="F2623" s="37">
        <v>269.6</v>
      </c>
      <c r="G2623" s="13"/>
    </row>
    <row r="2624" spans="2:7" ht="12.75">
      <c r="B2624" s="23" t="s">
        <v>39</v>
      </c>
      <c r="C2624" s="23"/>
      <c r="D2624" s="23"/>
      <c r="E2624" s="23"/>
      <c r="F2624" s="23"/>
      <c r="G2624" s="23"/>
    </row>
    <row r="2626" spans="2:7" ht="12.75">
      <c r="B2626" s="1" t="s">
        <v>0</v>
      </c>
      <c r="C2626" s="1"/>
      <c r="D2626" s="1"/>
      <c r="E2626" s="1"/>
      <c r="F2626" s="1"/>
      <c r="G2626" s="1"/>
    </row>
    <row r="2627" spans="2:7" ht="12.75">
      <c r="B2627" s="1" t="s">
        <v>46</v>
      </c>
      <c r="C2627" s="1"/>
      <c r="D2627" s="1"/>
      <c r="E2627" s="1"/>
      <c r="F2627" s="1"/>
      <c r="G2627" s="1"/>
    </row>
    <row r="2628" spans="2:7" ht="12.75">
      <c r="B2628" s="1" t="s">
        <v>162</v>
      </c>
      <c r="C2628" s="1"/>
      <c r="D2628" s="1"/>
      <c r="E2628" s="1"/>
      <c r="F2628" s="1"/>
      <c r="G2628" s="1"/>
    </row>
    <row r="2629" spans="2:7" ht="12.75" customHeight="1">
      <c r="B2629" s="2"/>
      <c r="C2629" s="2" t="s">
        <v>3</v>
      </c>
      <c r="D2629" s="3" t="s">
        <v>41</v>
      </c>
      <c r="E2629" s="3"/>
      <c r="F2629" s="4" t="s">
        <v>109</v>
      </c>
      <c r="G2629" s="4"/>
    </row>
    <row r="2630" spans="2:7" ht="12.75">
      <c r="B2630" s="2"/>
      <c r="C2630" s="2"/>
      <c r="D2630" s="3" t="s">
        <v>6</v>
      </c>
      <c r="E2630" s="3" t="s">
        <v>7</v>
      </c>
      <c r="F2630" s="3" t="s">
        <v>6</v>
      </c>
      <c r="G2630" s="3" t="s">
        <v>8</v>
      </c>
    </row>
    <row r="2631" spans="2:7" ht="12.75">
      <c r="B2631" s="5">
        <v>1</v>
      </c>
      <c r="C2631" s="6" t="s">
        <v>9</v>
      </c>
      <c r="D2631" s="13">
        <v>4025.8</v>
      </c>
      <c r="E2631" s="13"/>
      <c r="F2631" s="13">
        <v>4025.8</v>
      </c>
      <c r="G2631" s="13"/>
    </row>
    <row r="2632" spans="2:7" ht="12.75">
      <c r="B2632" s="5">
        <v>2</v>
      </c>
      <c r="C2632" s="7" t="s">
        <v>163</v>
      </c>
      <c r="D2632" s="8"/>
      <c r="E2632" s="8"/>
      <c r="F2632" s="8" t="s">
        <v>3</v>
      </c>
      <c r="G2632" s="8"/>
    </row>
    <row r="2633" spans="2:7" ht="12.75">
      <c r="B2633" s="5"/>
      <c r="C2633" s="34" t="s">
        <v>164</v>
      </c>
      <c r="D2633" s="9"/>
      <c r="E2633" s="9"/>
      <c r="F2633" s="9">
        <v>1032194.26</v>
      </c>
      <c r="G2633" s="9"/>
    </row>
    <row r="2634" spans="2:7" ht="12.75">
      <c r="B2634" s="5"/>
      <c r="C2634" s="34" t="s">
        <v>165</v>
      </c>
      <c r="D2634" s="9"/>
      <c r="E2634" s="9"/>
      <c r="F2634" s="9">
        <v>1040997.96</v>
      </c>
      <c r="G2634" s="9"/>
    </row>
    <row r="2635" spans="2:7" ht="12.75">
      <c r="B2635" s="5"/>
      <c r="C2635" s="2" t="s">
        <v>13</v>
      </c>
      <c r="D2635" s="9"/>
      <c r="E2635" s="9"/>
      <c r="F2635" s="9">
        <f>F2634-F2633</f>
        <v>8803.699999999953</v>
      </c>
      <c r="G2635" s="9"/>
    </row>
    <row r="2636" spans="2:7" ht="12.75">
      <c r="B2636" s="5">
        <v>3</v>
      </c>
      <c r="C2636" s="10" t="s">
        <v>14</v>
      </c>
      <c r="D2636" s="1" t="s">
        <v>15</v>
      </c>
      <c r="E2636" s="1"/>
      <c r="F2636" s="1" t="s">
        <v>15</v>
      </c>
      <c r="G2636" s="1"/>
    </row>
    <row r="2637" spans="2:7" ht="12.75">
      <c r="B2637" s="11" t="s">
        <v>16</v>
      </c>
      <c r="C2637" s="11"/>
      <c r="D2637" s="13">
        <v>130.9</v>
      </c>
      <c r="E2637" s="13">
        <f>D2637/4025.8/12*1000</f>
        <v>2.7096063722324337</v>
      </c>
      <c r="F2637" s="13">
        <v>139.35</v>
      </c>
      <c r="G2637" s="13">
        <f>F2637/4025.8/12*1000</f>
        <v>2.884519846986934</v>
      </c>
    </row>
    <row r="2638" spans="2:7" ht="12.75" customHeight="1">
      <c r="B2638" s="14" t="s">
        <v>17</v>
      </c>
      <c r="C2638" s="14"/>
      <c r="D2638" s="1">
        <f>D2639+D2640+D2641</f>
        <v>271</v>
      </c>
      <c r="E2638" s="13">
        <f>D2638/4025.8/12*1000</f>
        <v>5.609651083842548</v>
      </c>
      <c r="F2638" s="12">
        <f>F2639+F2640+F2641</f>
        <v>299.2</v>
      </c>
      <c r="G2638" s="13">
        <f>F2638/4025.8/12*1000</f>
        <v>6.193385993674135</v>
      </c>
    </row>
    <row r="2639" spans="2:7" ht="12.75">
      <c r="B2639" s="2"/>
      <c r="C2639" s="15" t="s">
        <v>18</v>
      </c>
      <c r="D2639" s="9">
        <v>210.4</v>
      </c>
      <c r="E2639" s="13">
        <f>D2639/4025.8/12*1000</f>
        <v>4.355242022289565</v>
      </c>
      <c r="F2639" s="9">
        <f>77.3+8.33+129.33</f>
        <v>214.96</v>
      </c>
      <c r="G2639" s="13">
        <f>F2639/4025.8/12*1000</f>
        <v>4.4496331991985025</v>
      </c>
    </row>
    <row r="2640" spans="2:7" ht="12.75">
      <c r="B2640" s="2"/>
      <c r="C2640" s="15" t="s">
        <v>19</v>
      </c>
      <c r="D2640" s="18">
        <v>60.6</v>
      </c>
      <c r="E2640" s="13">
        <f>D2640/4025.8/12*1000</f>
        <v>1.254409061552983</v>
      </c>
      <c r="F2640" s="45">
        <v>81.44</v>
      </c>
      <c r="G2640" s="13">
        <f>F2640/4025.8/12*1000</f>
        <v>1.685793299882425</v>
      </c>
    </row>
    <row r="2641" spans="2:7" ht="12.75">
      <c r="B2641" s="32" t="s">
        <v>20</v>
      </c>
      <c r="C2641" s="32"/>
      <c r="D2641" s="18">
        <v>0</v>
      </c>
      <c r="E2641" s="13">
        <f>D2641/4025.8/12*1000</f>
        <v>0</v>
      </c>
      <c r="F2641" s="18">
        <v>2.8</v>
      </c>
      <c r="G2641" s="13">
        <f>F2641/4025.8/12*1000</f>
        <v>0.05795949459320714</v>
      </c>
    </row>
    <row r="2642" spans="2:7" ht="12.75" customHeight="1">
      <c r="B2642" s="19" t="s">
        <v>21</v>
      </c>
      <c r="C2642" s="19"/>
      <c r="D2642" s="13">
        <f>D2643+D2645+D2644</f>
        <v>302</v>
      </c>
      <c r="E2642" s="13">
        <f>D2642/4025.8/12*1000</f>
        <v>6.251345488267342</v>
      </c>
      <c r="F2642" s="13">
        <f>F2643+F2645+F2644</f>
        <v>303.60999999999996</v>
      </c>
      <c r="G2642" s="13">
        <f>F2642/4025.8/12*1000</f>
        <v>6.284672197658436</v>
      </c>
    </row>
    <row r="2643" spans="2:7" ht="12.75">
      <c r="B2643" s="2"/>
      <c r="C2643" s="15" t="s">
        <v>22</v>
      </c>
      <c r="D2643" s="9">
        <v>253.1</v>
      </c>
      <c r="E2643" s="13">
        <f>D2643/4025.8/12*1000</f>
        <v>5.2391243148359745</v>
      </c>
      <c r="F2643" s="8">
        <f>180.5+55.06+7.9+24.35+3.28+1.4+9.76+0.41+2.82</f>
        <v>285.47999999999996</v>
      </c>
      <c r="G2643" s="13">
        <f>F2643/4025.8/12*1000</f>
        <v>5.909384470167419</v>
      </c>
    </row>
    <row r="2644" spans="2:7" ht="12.75">
      <c r="B2644" s="2"/>
      <c r="C2644" s="15" t="s">
        <v>23</v>
      </c>
      <c r="D2644" s="9">
        <v>45</v>
      </c>
      <c r="E2644" s="13">
        <f>D2644/4025.8/12*1000</f>
        <v>0.9314918773908292</v>
      </c>
      <c r="F2644" s="9">
        <v>12.8</v>
      </c>
      <c r="G2644" s="13">
        <f>F2644/4025.8/12*1000</f>
        <v>0.26495768956894694</v>
      </c>
    </row>
    <row r="2645" spans="2:7" ht="12.75">
      <c r="B2645" s="2"/>
      <c r="C2645" s="20" t="s">
        <v>24</v>
      </c>
      <c r="D2645" s="9">
        <v>3.9</v>
      </c>
      <c r="E2645" s="13">
        <f>D2645/4025.8/12*1000</f>
        <v>0.08072929604053852</v>
      </c>
      <c r="F2645" s="9">
        <v>5.33</v>
      </c>
      <c r="G2645" s="13">
        <f>F2645/4025.8/12*1000</f>
        <v>0.11033003792206932</v>
      </c>
    </row>
    <row r="2646" spans="2:7" ht="12.75">
      <c r="B2646" s="11" t="s">
        <v>25</v>
      </c>
      <c r="C2646" s="11"/>
      <c r="D2646" s="13">
        <v>28.5</v>
      </c>
      <c r="E2646" s="13">
        <f>D2646/4025.8/12*1000</f>
        <v>0.5899448556808584</v>
      </c>
      <c r="F2646" s="13">
        <v>31.16</v>
      </c>
      <c r="G2646" s="13">
        <f>F2646/4025.8/12*1000</f>
        <v>0.6450063755444052</v>
      </c>
    </row>
    <row r="2647" spans="2:7" ht="12.75">
      <c r="B2647" s="21" t="s">
        <v>26</v>
      </c>
      <c r="C2647" s="21"/>
      <c r="D2647" s="13">
        <v>149.3</v>
      </c>
      <c r="E2647" s="13">
        <f>D2647/4025.8/12*1000</f>
        <v>3.090483050987795</v>
      </c>
      <c r="F2647" s="1">
        <f>27.05+124.16</f>
        <v>151.21</v>
      </c>
      <c r="G2647" s="13">
        <f>F2647/4025.8/12*1000</f>
        <v>3.1300197062281616</v>
      </c>
    </row>
    <row r="2648" spans="2:7" ht="12.75">
      <c r="B2648" s="21"/>
      <c r="C2648" s="22" t="s">
        <v>166</v>
      </c>
      <c r="D2648" s="13">
        <v>0</v>
      </c>
      <c r="E2648" s="13">
        <f>D2648/4025.8/12*1000</f>
        <v>0</v>
      </c>
      <c r="F2648" s="1">
        <v>64.25</v>
      </c>
      <c r="G2648" s="13">
        <f>F2648/4025.8/12*1000</f>
        <v>1.3299634027191283</v>
      </c>
    </row>
    <row r="2649" spans="2:7" ht="12.75">
      <c r="B2649" s="2"/>
      <c r="C2649" s="10" t="s">
        <v>28</v>
      </c>
      <c r="D2649" s="12">
        <f>D2637+D2638+D2642+D2646+D2647</f>
        <v>881.7</v>
      </c>
      <c r="E2649" s="12">
        <f>E2637+E2638+E2642+E2646+E2647</f>
        <v>18.251030851010977</v>
      </c>
      <c r="F2649" s="13">
        <f>F2637+F2638+F2642+F2646+F2647+F2648</f>
        <v>988.7799999999999</v>
      </c>
      <c r="G2649" s="13">
        <f>G2637+G2638+G2642+G2646+G2647+G2648</f>
        <v>20.467567522811198</v>
      </c>
    </row>
    <row r="2650" spans="2:7" ht="12.75">
      <c r="B2650" s="2">
        <v>4</v>
      </c>
      <c r="C2650" s="10" t="s">
        <v>29</v>
      </c>
      <c r="D2650" s="13">
        <v>88.12</v>
      </c>
      <c r="E2650" s="12">
        <v>1.8</v>
      </c>
      <c r="F2650" s="12"/>
      <c r="G2650" s="12"/>
    </row>
    <row r="2651" spans="2:7" ht="12.75">
      <c r="B2651" s="5">
        <v>5</v>
      </c>
      <c r="C2651" s="10" t="s">
        <v>13</v>
      </c>
      <c r="D2651" s="13">
        <f>D2649+D2650</f>
        <v>969.82</v>
      </c>
      <c r="E2651" s="13">
        <f>E2649+E2650</f>
        <v>20.051030851010978</v>
      </c>
      <c r="F2651" s="13">
        <f>F2649-F2634/1000</f>
        <v>-52.21796000000006</v>
      </c>
      <c r="G2651" s="13"/>
    </row>
    <row r="2652" spans="2:7" ht="12.75">
      <c r="B2652" s="5"/>
      <c r="C2652" s="10"/>
      <c r="D2652" s="13"/>
      <c r="E2652" s="13"/>
      <c r="F2652" s="13"/>
      <c r="G2652" s="13"/>
    </row>
    <row r="2653" spans="2:7" ht="12.75">
      <c r="B2653" s="5"/>
      <c r="C2653" s="10" t="s">
        <v>30</v>
      </c>
      <c r="D2653" s="37" t="s">
        <v>6</v>
      </c>
      <c r="E2653" s="13"/>
      <c r="F2653" s="13"/>
      <c r="G2653" s="13"/>
    </row>
    <row r="2654" spans="2:7" ht="12.75">
      <c r="B2654" s="5"/>
      <c r="C2654" s="34" t="s">
        <v>42</v>
      </c>
      <c r="D2654" s="35">
        <v>19122.89</v>
      </c>
      <c r="E2654" s="13"/>
      <c r="F2654" s="13"/>
      <c r="G2654" s="13"/>
    </row>
    <row r="2655" spans="2:7" ht="12.75">
      <c r="B2655" s="5"/>
      <c r="C2655" s="23" t="s">
        <v>43</v>
      </c>
      <c r="D2655" s="35">
        <v>14128.83</v>
      </c>
      <c r="E2655" s="13"/>
      <c r="F2655" s="13"/>
      <c r="G2655" s="13"/>
    </row>
    <row r="2656" spans="2:7" ht="12.75">
      <c r="B2656" s="5"/>
      <c r="C2656" s="36" t="s">
        <v>13</v>
      </c>
      <c r="D2656" s="33">
        <f>D2655-D2654</f>
        <v>-4994.0599999999995</v>
      </c>
      <c r="E2656" s="13"/>
      <c r="F2656" s="13"/>
      <c r="G2656" s="13"/>
    </row>
    <row r="2657" spans="2:7" ht="12.75">
      <c r="B2657" s="5"/>
      <c r="C2657" s="36"/>
      <c r="D2657" s="50"/>
      <c r="E2657" s="13"/>
      <c r="F2657" s="13"/>
      <c r="G2657" s="13"/>
    </row>
    <row r="2658" spans="2:7" ht="12.75">
      <c r="B2658" s="5"/>
      <c r="C2658" s="14" t="s">
        <v>58</v>
      </c>
      <c r="D2658" s="13"/>
      <c r="E2658" s="13"/>
      <c r="F2658" s="13">
        <v>-47.22</v>
      </c>
      <c r="G2658" s="13"/>
    </row>
    <row r="2659" spans="2:7" ht="12.75">
      <c r="B2659" s="5"/>
      <c r="C2659" s="10"/>
      <c r="D2659" s="13"/>
      <c r="E2659" s="13"/>
      <c r="F2659" s="13"/>
      <c r="G2659" s="13"/>
    </row>
    <row r="2660" spans="2:7" ht="12.75">
      <c r="B2660" s="5"/>
      <c r="C2660" s="14" t="s">
        <v>127</v>
      </c>
      <c r="D2660" s="13"/>
      <c r="E2660" s="13"/>
      <c r="F2660" s="37">
        <v>812.74</v>
      </c>
      <c r="G2660" s="13"/>
    </row>
    <row r="2661" spans="2:7" ht="12.75">
      <c r="B2661" s="23" t="s">
        <v>39</v>
      </c>
      <c r="C2661" s="23"/>
      <c r="D2661" s="23"/>
      <c r="E2661" s="23"/>
      <c r="F2661" s="23"/>
      <c r="G2661" s="23"/>
    </row>
    <row r="2663" spans="2:7" ht="12.75">
      <c r="B2663" s="1" t="s">
        <v>0</v>
      </c>
      <c r="C2663" s="1"/>
      <c r="D2663" s="1"/>
      <c r="E2663" s="1"/>
      <c r="F2663" s="1"/>
      <c r="G2663" s="1"/>
    </row>
    <row r="2664" spans="2:7" ht="12.75">
      <c r="B2664" s="1" t="s">
        <v>51</v>
      </c>
      <c r="C2664" s="1"/>
      <c r="D2664" s="1"/>
      <c r="E2664" s="1"/>
      <c r="F2664" s="1"/>
      <c r="G2664" s="1"/>
    </row>
    <row r="2665" spans="2:7" ht="12.75">
      <c r="B2665" s="1" t="s">
        <v>167</v>
      </c>
      <c r="C2665" s="1"/>
      <c r="D2665" s="1"/>
      <c r="E2665" s="1"/>
      <c r="F2665" s="1"/>
      <c r="G2665" s="1"/>
    </row>
    <row r="2666" spans="2:7" ht="12.75" customHeight="1">
      <c r="B2666" s="2"/>
      <c r="C2666" s="2" t="s">
        <v>3</v>
      </c>
      <c r="D2666" s="3" t="s">
        <v>41</v>
      </c>
      <c r="E2666" s="3"/>
      <c r="F2666" s="4" t="s">
        <v>109</v>
      </c>
      <c r="G2666" s="4"/>
    </row>
    <row r="2667" spans="2:7" ht="12.75">
      <c r="B2667" s="2"/>
      <c r="C2667" s="2"/>
      <c r="D2667" s="3" t="s">
        <v>6</v>
      </c>
      <c r="E2667" s="3" t="s">
        <v>7</v>
      </c>
      <c r="F2667" s="3" t="s">
        <v>6</v>
      </c>
      <c r="G2667" s="3" t="s">
        <v>8</v>
      </c>
    </row>
    <row r="2668" spans="2:7" ht="12.75">
      <c r="B2668" s="5">
        <v>1</v>
      </c>
      <c r="C2668" s="6" t="s">
        <v>9</v>
      </c>
      <c r="D2668" s="13">
        <v>752.7</v>
      </c>
      <c r="E2668" s="13"/>
      <c r="F2668" s="13">
        <v>752.7</v>
      </c>
      <c r="G2668" s="13"/>
    </row>
    <row r="2669" spans="2:7" ht="12.75">
      <c r="B2669" s="5">
        <v>2</v>
      </c>
      <c r="C2669" s="7" t="s">
        <v>64</v>
      </c>
      <c r="D2669" s="8"/>
      <c r="E2669" s="8"/>
      <c r="F2669" s="8" t="s">
        <v>3</v>
      </c>
      <c r="G2669" s="8"/>
    </row>
    <row r="2670" spans="2:7" ht="12.75">
      <c r="B2670" s="5"/>
      <c r="C2670" s="34" t="s">
        <v>154</v>
      </c>
      <c r="D2670" s="9"/>
      <c r="E2670" s="9"/>
      <c r="F2670" s="9">
        <v>179891.22</v>
      </c>
      <c r="G2670" s="9"/>
    </row>
    <row r="2671" spans="2:7" ht="12.75">
      <c r="B2671" s="5"/>
      <c r="C2671" s="34" t="s">
        <v>155</v>
      </c>
      <c r="D2671" s="9"/>
      <c r="E2671" s="9"/>
      <c r="F2671" s="9">
        <v>161191.39</v>
      </c>
      <c r="G2671" s="9"/>
    </row>
    <row r="2672" spans="2:7" ht="12.75">
      <c r="B2672" s="5"/>
      <c r="C2672" s="2" t="s">
        <v>13</v>
      </c>
      <c r="D2672" s="9"/>
      <c r="E2672" s="9"/>
      <c r="F2672" s="9">
        <f>F2671-F2670</f>
        <v>-18699.829999999987</v>
      </c>
      <c r="G2672" s="9"/>
    </row>
    <row r="2673" spans="2:7" ht="12.75">
      <c r="B2673" s="5">
        <v>3</v>
      </c>
      <c r="C2673" s="10" t="s">
        <v>14</v>
      </c>
      <c r="D2673" s="1" t="s">
        <v>15</v>
      </c>
      <c r="E2673" s="1"/>
      <c r="F2673" s="1" t="s">
        <v>15</v>
      </c>
      <c r="G2673" s="1"/>
    </row>
    <row r="2674" spans="2:7" ht="12.75">
      <c r="B2674" s="11" t="s">
        <v>16</v>
      </c>
      <c r="C2674" s="11"/>
      <c r="D2674" s="13">
        <v>24.48</v>
      </c>
      <c r="E2674" s="13">
        <f>D2674/752.7/12*1000</f>
        <v>2.7102431247508965</v>
      </c>
      <c r="F2674" s="13">
        <v>24.3</v>
      </c>
      <c r="G2674" s="13">
        <f>F2674/752.7/12*1000</f>
        <v>2.6903148664806693</v>
      </c>
    </row>
    <row r="2675" spans="2:7" ht="12.75" customHeight="1">
      <c r="B2675" s="14" t="s">
        <v>17</v>
      </c>
      <c r="C2675" s="14"/>
      <c r="D2675" s="1">
        <f>D2676+D2677+D2678</f>
        <v>50.68</v>
      </c>
      <c r="E2675" s="13">
        <f>D2675/752.7/12*1000</f>
        <v>5.610911828528408</v>
      </c>
      <c r="F2675" s="12">
        <f>F2676+F2677+F2678</f>
        <v>47.73</v>
      </c>
      <c r="G2675" s="13">
        <f>F2675/752.7/12*1000</f>
        <v>5.284309817988573</v>
      </c>
    </row>
    <row r="2676" spans="2:7" ht="12.75">
      <c r="B2676" s="2"/>
      <c r="C2676" s="15" t="s">
        <v>18</v>
      </c>
      <c r="D2676" s="9">
        <v>39.3</v>
      </c>
      <c r="E2676" s="13">
        <f>D2676/752.7/12*1000</f>
        <v>4.3510030556662675</v>
      </c>
      <c r="F2676" s="9">
        <f>14.45+0.7+24.18</f>
        <v>39.33</v>
      </c>
      <c r="G2676" s="13">
        <f>F2676/752.7/12*1000</f>
        <v>4.354324432044638</v>
      </c>
    </row>
    <row r="2677" spans="2:7" ht="12.75">
      <c r="B2677" s="2"/>
      <c r="C2677" s="15" t="s">
        <v>19</v>
      </c>
      <c r="D2677" s="18">
        <v>11.38</v>
      </c>
      <c r="E2677" s="13">
        <f>D2677/752.7/12*1000</f>
        <v>1.2599087728621408</v>
      </c>
      <c r="F2677" s="45">
        <v>8.4</v>
      </c>
      <c r="G2677" s="13">
        <f>F2677/752.7/12*1000</f>
        <v>0.9299853859439352</v>
      </c>
    </row>
    <row r="2678" spans="2:7" ht="12.75">
      <c r="B2678" s="32" t="s">
        <v>20</v>
      </c>
      <c r="C2678" s="32"/>
      <c r="D2678" s="18">
        <v>0</v>
      </c>
      <c r="E2678" s="13">
        <f>D2678/752.7/12*1000</f>
        <v>0</v>
      </c>
      <c r="F2678" s="18">
        <v>0</v>
      </c>
      <c r="G2678" s="13">
        <f>F2678/752.7/12*1000</f>
        <v>0</v>
      </c>
    </row>
    <row r="2679" spans="2:7" ht="12.75" customHeight="1">
      <c r="B2679" s="19" t="s">
        <v>21</v>
      </c>
      <c r="C2679" s="19"/>
      <c r="D2679" s="13">
        <f>D2680+D2682+D2681</f>
        <v>56.449999999999996</v>
      </c>
      <c r="E2679" s="13">
        <f>D2679/752.7/12*1000</f>
        <v>6.249723218635135</v>
      </c>
      <c r="F2679" s="13">
        <f>F2680+F2682+F2681</f>
        <v>60.07999999999999</v>
      </c>
      <c r="G2679" s="13">
        <f>F2679/752.7/12*1000</f>
        <v>6.65160976041805</v>
      </c>
    </row>
    <row r="2680" spans="2:7" ht="12.75">
      <c r="B2680" s="2"/>
      <c r="C2680" s="15" t="s">
        <v>22</v>
      </c>
      <c r="D2680" s="9">
        <v>47.33</v>
      </c>
      <c r="E2680" s="13">
        <f>D2680/752.7/12*1000</f>
        <v>5.240024799610292</v>
      </c>
      <c r="F2680" s="8">
        <f>33.75+10.3+1.48+4.55+0.61+1.34+4.94+0.08+0.53</f>
        <v>57.57999999999999</v>
      </c>
      <c r="G2680" s="13">
        <f>F2680/752.7/12*1000</f>
        <v>6.3748283955537834</v>
      </c>
    </row>
    <row r="2681" spans="2:7" ht="12.75">
      <c r="B2681" s="2"/>
      <c r="C2681" s="15" t="s">
        <v>23</v>
      </c>
      <c r="D2681" s="9">
        <v>8.4</v>
      </c>
      <c r="E2681" s="13">
        <f>D2681/752.7/12*1000</f>
        <v>0.9299853859439352</v>
      </c>
      <c r="F2681" s="9">
        <v>2.5</v>
      </c>
      <c r="G2681" s="13">
        <f>F2681/752.7/12*1000</f>
        <v>0.27678136486426635</v>
      </c>
    </row>
    <row r="2682" spans="2:7" ht="12.75">
      <c r="B2682" s="2"/>
      <c r="C2682" s="20" t="s">
        <v>24</v>
      </c>
      <c r="D2682" s="9">
        <v>0.72</v>
      </c>
      <c r="E2682" s="13">
        <f>D2682/752.7/12*1000</f>
        <v>0.07971303308090871</v>
      </c>
      <c r="F2682" s="9">
        <v>0</v>
      </c>
      <c r="G2682" s="13">
        <f>F2682/752.7/12*1000</f>
        <v>0</v>
      </c>
    </row>
    <row r="2683" spans="2:7" ht="12.75">
      <c r="B2683" s="11" t="s">
        <v>25</v>
      </c>
      <c r="C2683" s="11"/>
      <c r="D2683" s="13">
        <v>5.33</v>
      </c>
      <c r="E2683" s="13">
        <f>D2683/752.7/12*1000</f>
        <v>0.590097869890616</v>
      </c>
      <c r="F2683" s="13">
        <v>4.91</v>
      </c>
      <c r="G2683" s="13">
        <f>F2683/752.7/12*1000</f>
        <v>0.5435986005934192</v>
      </c>
    </row>
    <row r="2684" spans="2:7" ht="12.75">
      <c r="B2684" s="21" t="s">
        <v>26</v>
      </c>
      <c r="C2684" s="21"/>
      <c r="D2684" s="13">
        <v>27.9</v>
      </c>
      <c r="E2684" s="13">
        <f>D2684/752.7/12*1000</f>
        <v>3.088880031885213</v>
      </c>
      <c r="F2684" s="1">
        <f>5.06+23.2</f>
        <v>28.259999999999998</v>
      </c>
      <c r="G2684" s="13">
        <f>F2684/752.7/12*1000</f>
        <v>3.1287365484256675</v>
      </c>
    </row>
    <row r="2685" spans="2:7" ht="12.75">
      <c r="B2685" s="2"/>
      <c r="C2685" s="10" t="s">
        <v>28</v>
      </c>
      <c r="D2685" s="12">
        <f>D2674+D2675+D2679+D2683+D2684</f>
        <v>164.84</v>
      </c>
      <c r="E2685" s="12">
        <f>E2674+E2675+E2679+E2683+E2684</f>
        <v>18.24985607369027</v>
      </c>
      <c r="F2685" s="13">
        <f>F2674+F2675+F2679+F2683+F2684</f>
        <v>165.27999999999997</v>
      </c>
      <c r="G2685" s="13">
        <f>G2674+G2675+G2679+G2683+G2684</f>
        <v>18.29856959390638</v>
      </c>
    </row>
    <row r="2686" spans="2:7" ht="12.75">
      <c r="B2686" s="2">
        <v>4</v>
      </c>
      <c r="C2686" s="10" t="s">
        <v>29</v>
      </c>
      <c r="D2686" s="13">
        <v>16.48</v>
      </c>
      <c r="E2686" s="12">
        <v>1.8</v>
      </c>
      <c r="F2686" s="12"/>
      <c r="G2686" s="12"/>
    </row>
    <row r="2687" spans="2:7" ht="12.75">
      <c r="B2687" s="5">
        <v>5</v>
      </c>
      <c r="C2687" s="10" t="s">
        <v>13</v>
      </c>
      <c r="D2687" s="13">
        <f>D2685+D2686</f>
        <v>181.32</v>
      </c>
      <c r="E2687" s="13">
        <f>E2685+E2686</f>
        <v>20.049856073690272</v>
      </c>
      <c r="F2687" s="13">
        <f>F2685-F2671/1000</f>
        <v>4.08860999999996</v>
      </c>
      <c r="G2687" s="13"/>
    </row>
    <row r="2688" spans="2:7" ht="12.75">
      <c r="B2688" s="5"/>
      <c r="C2688" s="10"/>
      <c r="D2688" s="13"/>
      <c r="E2688" s="13"/>
      <c r="F2688" s="13"/>
      <c r="G2688" s="13"/>
    </row>
    <row r="2689" spans="2:7" ht="12.75">
      <c r="B2689" s="5"/>
      <c r="C2689" s="14" t="s">
        <v>127</v>
      </c>
      <c r="D2689" s="13"/>
      <c r="E2689" s="13"/>
      <c r="F2689" s="37">
        <v>668.4</v>
      </c>
      <c r="G2689" s="13"/>
    </row>
    <row r="2690" spans="2:7" ht="12.75">
      <c r="B2690" s="23" t="s">
        <v>39</v>
      </c>
      <c r="C2690" s="23"/>
      <c r="D2690" s="23"/>
      <c r="E2690" s="23"/>
      <c r="F2690" s="23"/>
      <c r="G2690" s="23"/>
    </row>
    <row r="2692" spans="2:7" ht="12.75">
      <c r="B2692" s="1" t="s">
        <v>0</v>
      </c>
      <c r="C2692" s="1"/>
      <c r="D2692" s="1"/>
      <c r="E2692" s="1"/>
      <c r="F2692" s="1"/>
      <c r="G2692" s="1"/>
    </row>
    <row r="2693" spans="2:7" ht="12.75">
      <c r="B2693" s="1" t="s">
        <v>51</v>
      </c>
      <c r="C2693" s="1"/>
      <c r="D2693" s="1"/>
      <c r="E2693" s="1"/>
      <c r="F2693" s="1"/>
      <c r="G2693" s="1"/>
    </row>
    <row r="2694" spans="2:7" ht="12.75">
      <c r="B2694" s="1" t="s">
        <v>168</v>
      </c>
      <c r="C2694" s="1"/>
      <c r="D2694" s="1"/>
      <c r="E2694" s="1"/>
      <c r="F2694" s="1"/>
      <c r="G2694" s="1"/>
    </row>
    <row r="2695" spans="2:7" ht="12.75" customHeight="1">
      <c r="B2695" s="2"/>
      <c r="C2695" s="2" t="s">
        <v>3</v>
      </c>
      <c r="D2695" s="3" t="s">
        <v>41</v>
      </c>
      <c r="E2695" s="3"/>
      <c r="F2695" s="4" t="s">
        <v>109</v>
      </c>
      <c r="G2695" s="4"/>
    </row>
    <row r="2696" spans="2:7" ht="12.75">
      <c r="B2696" s="2"/>
      <c r="C2696" s="2"/>
      <c r="D2696" s="3" t="s">
        <v>6</v>
      </c>
      <c r="E2696" s="3" t="s">
        <v>7</v>
      </c>
      <c r="F2696" s="3" t="s">
        <v>6</v>
      </c>
      <c r="G2696" s="3" t="s">
        <v>8</v>
      </c>
    </row>
    <row r="2697" spans="2:7" ht="12.75">
      <c r="B2697" s="5">
        <v>1</v>
      </c>
      <c r="C2697" s="6" t="s">
        <v>9</v>
      </c>
      <c r="D2697" s="13">
        <v>363</v>
      </c>
      <c r="E2697" s="13"/>
      <c r="F2697" s="13">
        <v>363</v>
      </c>
      <c r="G2697" s="13"/>
    </row>
    <row r="2698" spans="2:7" ht="12.75">
      <c r="B2698" s="5">
        <v>2</v>
      </c>
      <c r="C2698" s="7" t="s">
        <v>67</v>
      </c>
      <c r="D2698" s="8"/>
      <c r="E2698" s="8"/>
      <c r="F2698" s="8" t="s">
        <v>3</v>
      </c>
      <c r="G2698" s="8"/>
    </row>
    <row r="2699" spans="2:7" ht="12.75">
      <c r="B2699" s="5"/>
      <c r="C2699" s="34" t="s">
        <v>154</v>
      </c>
      <c r="D2699" s="9"/>
      <c r="E2699" s="9"/>
      <c r="F2699" s="9">
        <v>87337.8</v>
      </c>
      <c r="G2699" s="9"/>
    </row>
    <row r="2700" spans="2:7" ht="12.75">
      <c r="B2700" s="5"/>
      <c r="C2700" s="34" t="s">
        <v>169</v>
      </c>
      <c r="D2700" s="9"/>
      <c r="E2700" s="9"/>
      <c r="F2700" s="9">
        <v>85061.36</v>
      </c>
      <c r="G2700" s="9"/>
    </row>
    <row r="2701" spans="2:7" ht="12.75">
      <c r="B2701" s="5"/>
      <c r="C2701" s="2" t="s">
        <v>13</v>
      </c>
      <c r="D2701" s="9"/>
      <c r="E2701" s="9"/>
      <c r="F2701" s="9">
        <f>F2700-F2699</f>
        <v>-2276.4400000000023</v>
      </c>
      <c r="G2701" s="9"/>
    </row>
    <row r="2702" spans="2:7" ht="12.75">
      <c r="B2702" s="5">
        <v>3</v>
      </c>
      <c r="C2702" s="10" t="s">
        <v>14</v>
      </c>
      <c r="D2702" s="1" t="s">
        <v>15</v>
      </c>
      <c r="E2702" s="1"/>
      <c r="F2702" s="1" t="s">
        <v>15</v>
      </c>
      <c r="G2702" s="1"/>
    </row>
    <row r="2703" spans="2:7" ht="12.75">
      <c r="B2703" s="11" t="s">
        <v>16</v>
      </c>
      <c r="C2703" s="11"/>
      <c r="D2703" s="13">
        <v>11.8</v>
      </c>
      <c r="E2703" s="13">
        <f>D2703/363/12*1000</f>
        <v>2.7089072543618005</v>
      </c>
      <c r="F2703" s="13">
        <v>11.8</v>
      </c>
      <c r="G2703" s="13">
        <f>F2703/363/12*1000</f>
        <v>2.7089072543618005</v>
      </c>
    </row>
    <row r="2704" spans="2:7" ht="12.75" customHeight="1">
      <c r="B2704" s="14" t="s">
        <v>17</v>
      </c>
      <c r="C2704" s="14"/>
      <c r="D2704" s="1">
        <f>D2705+D2706+D2707</f>
        <v>24.45</v>
      </c>
      <c r="E2704" s="13">
        <f>D2704/363/12*1000</f>
        <v>5.612947658402203</v>
      </c>
      <c r="F2704" s="12">
        <f>F2705+F2706+F2707</f>
        <v>46.18</v>
      </c>
      <c r="G2704" s="13">
        <f>F2704/363/12*1000</f>
        <v>10.601469237832873</v>
      </c>
    </row>
    <row r="2705" spans="2:7" ht="12.75">
      <c r="B2705" s="2"/>
      <c r="C2705" s="15" t="s">
        <v>18</v>
      </c>
      <c r="D2705" s="9">
        <v>19</v>
      </c>
      <c r="E2705" s="13">
        <f>D2705/363/12*1000</f>
        <v>4.361799816345271</v>
      </c>
      <c r="F2705" s="9">
        <f>7+0.82+11.66</f>
        <v>19.48</v>
      </c>
      <c r="G2705" s="13">
        <f>F2705/363/12*1000</f>
        <v>4.471992653810836</v>
      </c>
    </row>
    <row r="2706" spans="2:7" ht="12.75">
      <c r="B2706" s="2"/>
      <c r="C2706" s="15" t="s">
        <v>19</v>
      </c>
      <c r="D2706" s="18">
        <v>5.45</v>
      </c>
      <c r="E2706" s="13">
        <f>D2706/363/12*1000</f>
        <v>1.251147842056933</v>
      </c>
      <c r="F2706" s="18">
        <v>26.7</v>
      </c>
      <c r="G2706" s="13">
        <f>F2706/363/12*1000</f>
        <v>6.129476584022038</v>
      </c>
    </row>
    <row r="2707" spans="2:7" ht="12.75">
      <c r="B2707" s="32" t="s">
        <v>20</v>
      </c>
      <c r="C2707" s="32"/>
      <c r="D2707" s="18">
        <v>0</v>
      </c>
      <c r="E2707" s="13">
        <f>D2707/363/12*1000</f>
        <v>0</v>
      </c>
      <c r="F2707" s="18">
        <v>0</v>
      </c>
      <c r="G2707" s="13">
        <f>F2707/363/12*1000</f>
        <v>0</v>
      </c>
    </row>
    <row r="2708" spans="2:7" ht="12.75" customHeight="1">
      <c r="B2708" s="19" t="s">
        <v>21</v>
      </c>
      <c r="C2708" s="19"/>
      <c r="D2708" s="13">
        <f>D2709+D2711+D2710</f>
        <v>27.23</v>
      </c>
      <c r="E2708" s="13">
        <f>D2708/363/12*1000</f>
        <v>6.251147842056933</v>
      </c>
      <c r="F2708" s="13">
        <f>F2709+F2711+F2710</f>
        <v>12.030000000000001</v>
      </c>
      <c r="G2708" s="13">
        <f>F2708/363/12*1000</f>
        <v>2.761707988980717</v>
      </c>
    </row>
    <row r="2709" spans="2:7" ht="12.75">
      <c r="B2709" s="2"/>
      <c r="C2709" s="15" t="s">
        <v>22</v>
      </c>
      <c r="D2709" s="9">
        <v>22.83</v>
      </c>
      <c r="E2709" s="13">
        <f>D2709/363/12*1000</f>
        <v>5.241046831955923</v>
      </c>
      <c r="F2709" s="9">
        <f>3.26+1+0.14+0.44+2.66</f>
        <v>7.5</v>
      </c>
      <c r="G2709" s="13">
        <f>F2709/363/12*1000</f>
        <v>1.721763085399449</v>
      </c>
    </row>
    <row r="2710" spans="2:7" ht="12.75">
      <c r="B2710" s="2"/>
      <c r="C2710" s="15" t="s">
        <v>23</v>
      </c>
      <c r="D2710" s="9">
        <v>4.05</v>
      </c>
      <c r="E2710" s="13">
        <f>D2710/363/12*1000</f>
        <v>0.9297520661157025</v>
      </c>
      <c r="F2710" s="9">
        <v>4.53</v>
      </c>
      <c r="G2710" s="13">
        <f>F2710/363/12*1000</f>
        <v>1.0399449035812671</v>
      </c>
    </row>
    <row r="2711" spans="2:7" ht="12.75">
      <c r="B2711" s="2"/>
      <c r="C2711" s="20" t="s">
        <v>24</v>
      </c>
      <c r="D2711" s="9">
        <v>0.35</v>
      </c>
      <c r="E2711" s="13">
        <f>D2711/363/12*1000</f>
        <v>0.08034894398530763</v>
      </c>
      <c r="F2711" s="9">
        <v>0</v>
      </c>
      <c r="G2711" s="13">
        <f>F2711/363/12*1000</f>
        <v>0</v>
      </c>
    </row>
    <row r="2712" spans="2:7" ht="12.75">
      <c r="B2712" s="11" t="s">
        <v>25</v>
      </c>
      <c r="C2712" s="11"/>
      <c r="D2712" s="13">
        <v>2.57</v>
      </c>
      <c r="E2712" s="13">
        <f>D2712/363/12*1000</f>
        <v>0.5899908172635446</v>
      </c>
      <c r="F2712" s="13">
        <v>2.55</v>
      </c>
      <c r="G2712" s="13">
        <f>F2712/363/12*1000</f>
        <v>0.5853994490358126</v>
      </c>
    </row>
    <row r="2713" spans="2:7" ht="12.75">
      <c r="B2713" s="21" t="s">
        <v>26</v>
      </c>
      <c r="C2713" s="21"/>
      <c r="D2713" s="13">
        <v>13.46</v>
      </c>
      <c r="E2713" s="13">
        <f>D2713/363/12*1000</f>
        <v>3.0899908172635446</v>
      </c>
      <c r="F2713" s="13">
        <f>2.44+11.2</f>
        <v>13.639999999999999</v>
      </c>
      <c r="G2713" s="13">
        <f>F2713/363/12*1000</f>
        <v>3.131313131313131</v>
      </c>
    </row>
    <row r="2714" spans="2:7" ht="12.75">
      <c r="B2714" s="2"/>
      <c r="C2714" s="10" t="s">
        <v>28</v>
      </c>
      <c r="D2714" s="12">
        <f>D2703+D2704+D2708+D2712+D2713</f>
        <v>79.51000000000002</v>
      </c>
      <c r="E2714" s="12">
        <f>E2703+E2704+E2708+E2712+E2713</f>
        <v>18.252984389348025</v>
      </c>
      <c r="F2714" s="13">
        <f>F2703+F2704+F2708+F2712+F2713</f>
        <v>86.2</v>
      </c>
      <c r="G2714" s="13">
        <f>F2714/363/12*1000</f>
        <v>19.788797061524335</v>
      </c>
    </row>
    <row r="2715" spans="2:7" ht="12.75">
      <c r="B2715" s="2">
        <v>4</v>
      </c>
      <c r="C2715" s="10" t="s">
        <v>29</v>
      </c>
      <c r="D2715" s="13">
        <v>7.95</v>
      </c>
      <c r="E2715" s="12">
        <v>1.8</v>
      </c>
      <c r="F2715" s="12"/>
      <c r="G2715" s="12"/>
    </row>
    <row r="2716" spans="2:7" ht="12.75">
      <c r="B2716" s="5">
        <v>5</v>
      </c>
      <c r="C2716" s="10" t="s">
        <v>13</v>
      </c>
      <c r="D2716" s="13">
        <f>D2714+D2715</f>
        <v>87.46000000000002</v>
      </c>
      <c r="E2716" s="13">
        <f>E2714+E2715</f>
        <v>20.052984389348026</v>
      </c>
      <c r="F2716" s="13">
        <f>F2714-F2700/1000</f>
        <v>1.1386399999999952</v>
      </c>
      <c r="G2716" s="13"/>
    </row>
    <row r="2717" spans="2:7" ht="12.75">
      <c r="B2717" s="5"/>
      <c r="C2717" s="10"/>
      <c r="D2717" s="13"/>
      <c r="E2717" s="13"/>
      <c r="F2717" s="13"/>
      <c r="G2717" s="13"/>
    </row>
    <row r="2718" spans="2:7" ht="12.75">
      <c r="B2718" s="5"/>
      <c r="C2718" s="14" t="s">
        <v>147</v>
      </c>
      <c r="D2718" s="13"/>
      <c r="E2718" s="13"/>
      <c r="F2718" s="37">
        <v>-9.9</v>
      </c>
      <c r="G2718" s="13"/>
    </row>
    <row r="2719" spans="2:7" ht="12.75">
      <c r="B2719" s="23" t="s">
        <v>39</v>
      </c>
      <c r="C2719" s="23"/>
      <c r="D2719" s="23"/>
      <c r="E2719" s="23"/>
      <c r="F2719" s="23"/>
      <c r="G2719" s="23"/>
    </row>
    <row r="2720" spans="2:4" ht="12.75">
      <c r="B2720" s="56"/>
      <c r="C2720" s="56"/>
      <c r="D2720" s="56"/>
    </row>
    <row r="2721" spans="2:7" ht="12.75">
      <c r="B2721" s="1" t="s">
        <v>0</v>
      </c>
      <c r="C2721" s="1"/>
      <c r="D2721" s="1"/>
      <c r="E2721" s="1"/>
      <c r="F2721" s="1"/>
      <c r="G2721" s="1"/>
    </row>
    <row r="2722" spans="2:7" ht="12.75">
      <c r="B2722" s="1" t="s">
        <v>51</v>
      </c>
      <c r="C2722" s="1"/>
      <c r="D2722" s="1"/>
      <c r="E2722" s="1"/>
      <c r="F2722" s="1"/>
      <c r="G2722" s="1"/>
    </row>
    <row r="2723" spans="2:7" ht="12.75">
      <c r="B2723" s="1" t="s">
        <v>170</v>
      </c>
      <c r="C2723" s="1"/>
      <c r="D2723" s="1"/>
      <c r="E2723" s="1"/>
      <c r="F2723" s="1"/>
      <c r="G2723" s="1"/>
    </row>
    <row r="2724" spans="2:7" ht="12.75" customHeight="1">
      <c r="B2724" s="2"/>
      <c r="C2724" s="2" t="s">
        <v>3</v>
      </c>
      <c r="D2724" s="3" t="s">
        <v>41</v>
      </c>
      <c r="E2724" s="3"/>
      <c r="F2724" s="4" t="s">
        <v>109</v>
      </c>
      <c r="G2724" s="4"/>
    </row>
    <row r="2725" spans="2:7" ht="12.75">
      <c r="B2725" s="2"/>
      <c r="C2725" s="2"/>
      <c r="D2725" s="3" t="s">
        <v>6</v>
      </c>
      <c r="E2725" s="3" t="s">
        <v>7</v>
      </c>
      <c r="F2725" s="3" t="s">
        <v>6</v>
      </c>
      <c r="G2725" s="3" t="s">
        <v>8</v>
      </c>
    </row>
    <row r="2726" spans="2:7" ht="12.75">
      <c r="B2726" s="5">
        <v>1</v>
      </c>
      <c r="C2726" s="6" t="s">
        <v>9</v>
      </c>
      <c r="D2726" s="13">
        <v>2715.58</v>
      </c>
      <c r="E2726" s="13"/>
      <c r="F2726" s="13">
        <v>2715.58</v>
      </c>
      <c r="G2726" s="13"/>
    </row>
    <row r="2727" spans="2:7" ht="12.75">
      <c r="B2727" s="5">
        <v>2</v>
      </c>
      <c r="C2727" s="7" t="s">
        <v>55</v>
      </c>
      <c r="D2727" s="8"/>
      <c r="E2727" s="8"/>
      <c r="F2727" s="8" t="s">
        <v>3</v>
      </c>
      <c r="G2727" s="8"/>
    </row>
    <row r="2728" spans="2:7" ht="12.75">
      <c r="B2728" s="5"/>
      <c r="C2728" s="34" t="s">
        <v>154</v>
      </c>
      <c r="D2728" s="9"/>
      <c r="E2728" s="9"/>
      <c r="F2728" s="9">
        <v>653317.9</v>
      </c>
      <c r="G2728" s="9"/>
    </row>
    <row r="2729" spans="2:7" ht="12.75">
      <c r="B2729" s="5"/>
      <c r="C2729" s="34" t="s">
        <v>171</v>
      </c>
      <c r="D2729" s="9"/>
      <c r="E2729" s="9"/>
      <c r="F2729" s="9">
        <v>584783.86</v>
      </c>
      <c r="G2729" s="9"/>
    </row>
    <row r="2730" spans="2:7" ht="12.75">
      <c r="B2730" s="5"/>
      <c r="C2730" s="2" t="s">
        <v>13</v>
      </c>
      <c r="D2730" s="9"/>
      <c r="E2730" s="9"/>
      <c r="F2730" s="9">
        <f>F2729-F2728</f>
        <v>-68534.04000000004</v>
      </c>
      <c r="G2730" s="9"/>
    </row>
    <row r="2731" spans="2:7" ht="12.75">
      <c r="B2731" s="5">
        <v>3</v>
      </c>
      <c r="C2731" s="10" t="s">
        <v>14</v>
      </c>
      <c r="D2731" s="1" t="s">
        <v>15</v>
      </c>
      <c r="E2731" s="1"/>
      <c r="F2731" s="1" t="s">
        <v>15</v>
      </c>
      <c r="G2731" s="1"/>
    </row>
    <row r="2732" spans="2:7" ht="12.75">
      <c r="B2732" s="11" t="s">
        <v>16</v>
      </c>
      <c r="C2732" s="11"/>
      <c r="D2732" s="13">
        <v>88.31</v>
      </c>
      <c r="E2732" s="13">
        <f>D2732/2715.58/12*1000</f>
        <v>2.7099796974004327</v>
      </c>
      <c r="F2732" s="13">
        <v>88.2</v>
      </c>
      <c r="G2732" s="13">
        <f>F2732/2715.58/12*1000</f>
        <v>2.7066041140382535</v>
      </c>
    </row>
    <row r="2733" spans="2:7" ht="12.75" customHeight="1">
      <c r="B2733" s="14" t="s">
        <v>17</v>
      </c>
      <c r="C2733" s="14"/>
      <c r="D2733" s="1">
        <f>D2734+D2735+D2736</f>
        <v>182.9</v>
      </c>
      <c r="E2733" s="13">
        <f>D2733/2715.58/12*1000</f>
        <v>5.612674517659825</v>
      </c>
      <c r="F2733" s="12">
        <f>F2734+F2735+F2736</f>
        <v>242.78</v>
      </c>
      <c r="G2733" s="13">
        <f>F2733/2715.58/12*1000</f>
        <v>7.450219351544299</v>
      </c>
    </row>
    <row r="2734" spans="2:7" ht="12.75">
      <c r="B2734" s="2"/>
      <c r="C2734" s="15" t="s">
        <v>18</v>
      </c>
      <c r="D2734" s="9">
        <v>141.9</v>
      </c>
      <c r="E2734" s="13">
        <f>D2734/2715.58/12*1000</f>
        <v>4.354502537211204</v>
      </c>
      <c r="F2734" s="9">
        <f>52.14+9.2+87.24</f>
        <v>148.57999999999998</v>
      </c>
      <c r="G2734" s="13">
        <f>F2734/2715.58/12*1000</f>
        <v>4.559492508659905</v>
      </c>
    </row>
    <row r="2735" spans="2:7" ht="12.75">
      <c r="B2735" s="2"/>
      <c r="C2735" s="15" t="s">
        <v>19</v>
      </c>
      <c r="D2735" s="18">
        <v>41</v>
      </c>
      <c r="E2735" s="13">
        <f>D2735/2715.58/12*1000</f>
        <v>1.258171980448621</v>
      </c>
      <c r="F2735" s="45">
        <v>91.4</v>
      </c>
      <c r="G2735" s="13">
        <f>F2735/2715.58/12*1000</f>
        <v>2.8048029027561947</v>
      </c>
    </row>
    <row r="2736" spans="2:7" ht="12.75">
      <c r="B2736" s="32" t="s">
        <v>20</v>
      </c>
      <c r="C2736" s="32"/>
      <c r="D2736" s="18">
        <v>0</v>
      </c>
      <c r="E2736" s="13">
        <f>D2736/2715.58/12*1000</f>
        <v>0</v>
      </c>
      <c r="F2736" s="18">
        <v>2.8</v>
      </c>
      <c r="G2736" s="13">
        <f>F2736/2715.58/12*1000</f>
        <v>0.08592394012819851</v>
      </c>
    </row>
    <row r="2737" spans="2:7" ht="12.75" customHeight="1">
      <c r="B2737" s="19" t="s">
        <v>21</v>
      </c>
      <c r="C2737" s="19"/>
      <c r="D2737" s="13">
        <f>D2738+D2740+D2739</f>
        <v>203.66</v>
      </c>
      <c r="E2737" s="13">
        <f>D2737/2715.58/12*1000</f>
        <v>6.249739159467468</v>
      </c>
      <c r="F2737" s="13">
        <f>F2738+F2740+F2739</f>
        <v>218.29000000000002</v>
      </c>
      <c r="G2737" s="13">
        <f>F2737/2715.58/12*1000</f>
        <v>6.698691746637306</v>
      </c>
    </row>
    <row r="2738" spans="2:7" ht="12.75">
      <c r="B2738" s="2"/>
      <c r="C2738" s="15" t="s">
        <v>22</v>
      </c>
      <c r="D2738" s="9">
        <v>170.76</v>
      </c>
      <c r="E2738" s="13">
        <f>D2738/2715.58/12*1000</f>
        <v>5.2401328629611355</v>
      </c>
      <c r="F2738" s="8">
        <f>121.77+37.14+5.33+16.42+2.2+19.93+7+1.9</f>
        <v>211.69000000000003</v>
      </c>
      <c r="G2738" s="13">
        <f>F2738/2715.58/12*1000</f>
        <v>6.4961567449065525</v>
      </c>
    </row>
    <row r="2739" spans="2:7" ht="12.75">
      <c r="B2739" s="2"/>
      <c r="C2739" s="15" t="s">
        <v>23</v>
      </c>
      <c r="D2739" s="9">
        <v>30.3</v>
      </c>
      <c r="E2739" s="13">
        <f>D2739/2715.58/12*1000</f>
        <v>0.9298197806730054</v>
      </c>
      <c r="F2739" s="9">
        <v>5.17</v>
      </c>
      <c r="G2739" s="13">
        <f>F2739/2715.58/12*1000</f>
        <v>0.1586524180224237</v>
      </c>
    </row>
    <row r="2740" spans="2:7" ht="12.75">
      <c r="B2740" s="2"/>
      <c r="C2740" s="20" t="s">
        <v>24</v>
      </c>
      <c r="D2740" s="9">
        <v>2.6</v>
      </c>
      <c r="E2740" s="13">
        <f>D2740/2715.58/12*1000</f>
        <v>0.0797865158333272</v>
      </c>
      <c r="F2740" s="9">
        <v>1.43</v>
      </c>
      <c r="G2740" s="13">
        <f>F2740/2715.58/12*1000</f>
        <v>0.04388258370832996</v>
      </c>
    </row>
    <row r="2741" spans="2:7" ht="12.75">
      <c r="B2741" s="11" t="s">
        <v>25</v>
      </c>
      <c r="C2741" s="11"/>
      <c r="D2741" s="13">
        <v>19.23</v>
      </c>
      <c r="E2741" s="13">
        <f>D2741/2715.58/12*1000</f>
        <v>0.5901133459518777</v>
      </c>
      <c r="F2741" s="13">
        <v>17.47</v>
      </c>
      <c r="G2741" s="13">
        <f>F2741/2715.58/12*1000</f>
        <v>0.53610401215701</v>
      </c>
    </row>
    <row r="2742" spans="2:7" ht="12.75">
      <c r="B2742" s="21" t="s">
        <v>26</v>
      </c>
      <c r="C2742" s="21"/>
      <c r="D2742" s="13">
        <v>100.7</v>
      </c>
      <c r="E2742" s="13">
        <f>D2742/2715.58/12*1000</f>
        <v>3.0901931324677117</v>
      </c>
      <c r="F2742" s="1">
        <f>18.25+83.75</f>
        <v>102</v>
      </c>
      <c r="G2742" s="13">
        <f>F2742/2715.58/12*1000</f>
        <v>3.130086390384375</v>
      </c>
    </row>
    <row r="2743" spans="2:7" ht="12.75">
      <c r="B2743" s="2"/>
      <c r="C2743" s="10" t="s">
        <v>28</v>
      </c>
      <c r="D2743" s="12">
        <f>D2732+D2733+D2737+D2741+D2742</f>
        <v>594.8000000000001</v>
      </c>
      <c r="E2743" s="12">
        <f>E2732+E2733+E2737+E2741+E2742</f>
        <v>18.252699852947313</v>
      </c>
      <c r="F2743" s="12">
        <f>F2732+F2733+F2737+F2741+F2742</f>
        <v>668.74</v>
      </c>
      <c r="G2743" s="13">
        <f>G2732+G2733+G2737+G2741+G2742</f>
        <v>20.521705614761245</v>
      </c>
    </row>
    <row r="2744" spans="2:7" ht="12.75">
      <c r="B2744" s="2">
        <v>4</v>
      </c>
      <c r="C2744" s="10" t="s">
        <v>29</v>
      </c>
      <c r="D2744" s="13">
        <v>59.44</v>
      </c>
      <c r="E2744" s="12">
        <v>1.8</v>
      </c>
      <c r="F2744" s="12"/>
      <c r="G2744" s="12"/>
    </row>
    <row r="2745" spans="2:7" ht="12.75">
      <c r="B2745" s="5">
        <v>5</v>
      </c>
      <c r="C2745" s="10" t="s">
        <v>13</v>
      </c>
      <c r="D2745" s="13">
        <f>D2743+D2744</f>
        <v>654.24</v>
      </c>
      <c r="E2745" s="13">
        <f>E2743+E2744</f>
        <v>20.052699852947313</v>
      </c>
      <c r="F2745" s="13">
        <f>F2743-F2729/1000</f>
        <v>83.95614</v>
      </c>
      <c r="G2745" s="13"/>
    </row>
    <row r="2746" spans="2:7" ht="12.75">
      <c r="B2746" s="5"/>
      <c r="C2746" s="10"/>
      <c r="D2746" s="13"/>
      <c r="E2746" s="13"/>
      <c r="F2746" s="13"/>
      <c r="G2746" s="13"/>
    </row>
    <row r="2747" spans="2:7" ht="12.75">
      <c r="B2747" s="11" t="s">
        <v>30</v>
      </c>
      <c r="C2747" s="11"/>
      <c r="D2747" s="33" t="s">
        <v>6</v>
      </c>
      <c r="E2747" s="25"/>
      <c r="F2747" s="25"/>
      <c r="G2747" s="13"/>
    </row>
    <row r="2748" spans="2:7" ht="12.75">
      <c r="B2748" s="25"/>
      <c r="C2748" s="34" t="s">
        <v>31</v>
      </c>
      <c r="D2748" s="35">
        <v>6162.46</v>
      </c>
      <c r="E2748" s="25"/>
      <c r="F2748" s="25"/>
      <c r="G2748" s="13"/>
    </row>
    <row r="2749" spans="2:7" ht="12.75">
      <c r="B2749" s="5"/>
      <c r="C2749" s="23" t="s">
        <v>32</v>
      </c>
      <c r="D2749" s="35">
        <v>5673.91</v>
      </c>
      <c r="E2749" s="25"/>
      <c r="F2749" s="25"/>
      <c r="G2749" s="13"/>
    </row>
    <row r="2750" spans="2:7" ht="12.75">
      <c r="B2750" s="5"/>
      <c r="C2750" s="36" t="s">
        <v>13</v>
      </c>
      <c r="D2750" s="33">
        <f>D2749-D2748</f>
        <v>-488.5500000000002</v>
      </c>
      <c r="E2750" s="25"/>
      <c r="F2750" s="25"/>
      <c r="G2750" s="13"/>
    </row>
    <row r="2751" spans="2:7" ht="12.75">
      <c r="B2751" s="5"/>
      <c r="C2751" s="34" t="s">
        <v>33</v>
      </c>
      <c r="D2751" s="35">
        <v>6813.89</v>
      </c>
      <c r="E2751" s="25"/>
      <c r="F2751" s="25"/>
      <c r="G2751" s="13"/>
    </row>
    <row r="2752" spans="2:7" ht="12.75">
      <c r="B2752" s="5"/>
      <c r="C2752" s="23" t="s">
        <v>34</v>
      </c>
      <c r="D2752" s="35">
        <v>6073.56</v>
      </c>
      <c r="E2752" s="25"/>
      <c r="F2752" s="25"/>
      <c r="G2752" s="13"/>
    </row>
    <row r="2753" spans="2:7" ht="12.75">
      <c r="B2753" s="5"/>
      <c r="C2753" s="36" t="s">
        <v>13</v>
      </c>
      <c r="D2753" s="33">
        <f>D2752-D2751</f>
        <v>-740.3299999999999</v>
      </c>
      <c r="E2753" s="25"/>
      <c r="F2753" s="25"/>
      <c r="G2753" s="13"/>
    </row>
    <row r="2754" spans="2:7" ht="12.75">
      <c r="B2754" s="5"/>
      <c r="C2754" s="34" t="s">
        <v>42</v>
      </c>
      <c r="D2754" s="35">
        <v>8963.97</v>
      </c>
      <c r="E2754" s="25"/>
      <c r="F2754" s="25"/>
      <c r="G2754" s="13"/>
    </row>
    <row r="2755" spans="2:7" ht="12.75">
      <c r="B2755" s="5"/>
      <c r="C2755" s="23" t="s">
        <v>43</v>
      </c>
      <c r="D2755" s="35">
        <v>5948.43</v>
      </c>
      <c r="E2755" s="25"/>
      <c r="F2755" s="25"/>
      <c r="G2755" s="13"/>
    </row>
    <row r="2756" spans="2:7" ht="12.75">
      <c r="B2756" s="5"/>
      <c r="C2756" s="36" t="s">
        <v>13</v>
      </c>
      <c r="D2756" s="33">
        <f>D2755-D2754</f>
        <v>-3015.539999999999</v>
      </c>
      <c r="E2756" s="25"/>
      <c r="F2756" s="25"/>
      <c r="G2756" s="13"/>
    </row>
    <row r="2757" spans="2:7" ht="12.75">
      <c r="B2757" s="5"/>
      <c r="C2757" s="36" t="s">
        <v>35</v>
      </c>
      <c r="D2757" s="50">
        <f>D2750+D2753+D2756</f>
        <v>-4244.419999999999</v>
      </c>
      <c r="E2757" s="25"/>
      <c r="F2757" s="25"/>
      <c r="G2757" s="13"/>
    </row>
    <row r="2758" spans="2:7" ht="12.75">
      <c r="B2758" s="11"/>
      <c r="C2758" s="11"/>
      <c r="D2758" s="27"/>
      <c r="E2758" s="25"/>
      <c r="F2758" s="25"/>
      <c r="G2758" s="13"/>
    </row>
    <row r="2759" spans="2:7" ht="12.75">
      <c r="B2759" s="11"/>
      <c r="C2759" s="14" t="s">
        <v>44</v>
      </c>
      <c r="D2759" s="27" t="s">
        <v>37</v>
      </c>
      <c r="E2759" s="25"/>
      <c r="F2759" s="46">
        <v>88.2</v>
      </c>
      <c r="G2759" s="13"/>
    </row>
    <row r="2760" spans="2:7" ht="12.75">
      <c r="B2760" s="5"/>
      <c r="C2760" s="14" t="s">
        <v>150</v>
      </c>
      <c r="D2760" s="13"/>
      <c r="E2760" s="13"/>
      <c r="F2760" s="37">
        <v>290.4</v>
      </c>
      <c r="G2760" s="13"/>
    </row>
    <row r="2761" spans="2:7" ht="12.75">
      <c r="B2761" s="23" t="s">
        <v>39</v>
      </c>
      <c r="C2761" s="23"/>
      <c r="D2761" s="23"/>
      <c r="E2761" s="23"/>
      <c r="F2761" s="23"/>
      <c r="G2761" s="23"/>
    </row>
    <row r="2763" spans="2:7" ht="12.75">
      <c r="B2763" s="1" t="s">
        <v>0</v>
      </c>
      <c r="C2763" s="1"/>
      <c r="D2763" s="1"/>
      <c r="E2763" s="1"/>
      <c r="F2763" s="1"/>
      <c r="G2763" s="1"/>
    </row>
    <row r="2764" spans="2:7" ht="12.75">
      <c r="B2764" s="1" t="s">
        <v>51</v>
      </c>
      <c r="C2764" s="1"/>
      <c r="D2764" s="1"/>
      <c r="E2764" s="1"/>
      <c r="F2764" s="1"/>
      <c r="G2764" s="1"/>
    </row>
    <row r="2765" spans="2:7" ht="12.75">
      <c r="B2765" s="1" t="s">
        <v>172</v>
      </c>
      <c r="C2765" s="1"/>
      <c r="D2765" s="1"/>
      <c r="E2765" s="1"/>
      <c r="F2765" s="1"/>
      <c r="G2765" s="1"/>
    </row>
    <row r="2766" spans="2:7" ht="12.75" customHeight="1">
      <c r="B2766" s="2"/>
      <c r="C2766" s="2" t="s">
        <v>3</v>
      </c>
      <c r="D2766" s="3" t="s">
        <v>41</v>
      </c>
      <c r="E2766" s="3"/>
      <c r="F2766" s="4" t="s">
        <v>109</v>
      </c>
      <c r="G2766" s="4"/>
    </row>
    <row r="2767" spans="2:7" ht="12.75">
      <c r="B2767" s="2"/>
      <c r="C2767" s="2"/>
      <c r="D2767" s="3" t="s">
        <v>6</v>
      </c>
      <c r="E2767" s="3" t="s">
        <v>7</v>
      </c>
      <c r="F2767" s="3" t="s">
        <v>6</v>
      </c>
      <c r="G2767" s="3" t="s">
        <v>8</v>
      </c>
    </row>
    <row r="2768" spans="2:7" ht="12.75">
      <c r="B2768" s="5">
        <v>1</v>
      </c>
      <c r="C2768" s="6" t="s">
        <v>9</v>
      </c>
      <c r="D2768" s="13">
        <v>2693.14</v>
      </c>
      <c r="E2768" s="13"/>
      <c r="F2768" s="13">
        <v>2693.14</v>
      </c>
      <c r="G2768" s="13"/>
    </row>
    <row r="2769" spans="2:7" ht="12.75">
      <c r="B2769" s="5">
        <v>2</v>
      </c>
      <c r="C2769" s="7" t="s">
        <v>145</v>
      </c>
      <c r="D2769" s="8"/>
      <c r="E2769" s="8"/>
      <c r="F2769" s="8" t="s">
        <v>3</v>
      </c>
      <c r="G2769" s="8"/>
    </row>
    <row r="2770" spans="2:7" ht="12.75">
      <c r="B2770" s="5"/>
      <c r="C2770" s="34" t="s">
        <v>164</v>
      </c>
      <c r="D2770" s="9"/>
      <c r="E2770" s="9"/>
      <c r="F2770" s="9">
        <v>758023.34</v>
      </c>
      <c r="G2770" s="9"/>
    </row>
    <row r="2771" spans="2:7" ht="12.75">
      <c r="B2771" s="5"/>
      <c r="C2771" s="34" t="s">
        <v>173</v>
      </c>
      <c r="D2771" s="9"/>
      <c r="E2771" s="9"/>
      <c r="F2771" s="9">
        <v>691824.84</v>
      </c>
      <c r="G2771" s="9"/>
    </row>
    <row r="2772" spans="2:7" ht="12.75">
      <c r="B2772" s="5"/>
      <c r="C2772" s="2" t="s">
        <v>13</v>
      </c>
      <c r="D2772" s="9"/>
      <c r="E2772" s="9"/>
      <c r="F2772" s="9">
        <f>F2771-F2770</f>
        <v>-66198.5</v>
      </c>
      <c r="G2772" s="9"/>
    </row>
    <row r="2773" spans="2:7" ht="12.75">
      <c r="B2773" s="5">
        <v>3</v>
      </c>
      <c r="C2773" s="10" t="s">
        <v>14</v>
      </c>
      <c r="D2773" s="1" t="s">
        <v>15</v>
      </c>
      <c r="E2773" s="1"/>
      <c r="F2773" s="1" t="s">
        <v>15</v>
      </c>
      <c r="G2773" s="1"/>
    </row>
    <row r="2774" spans="2:7" ht="12.75">
      <c r="B2774" s="11" t="s">
        <v>16</v>
      </c>
      <c r="C2774" s="11"/>
      <c r="D2774" s="13">
        <v>87.6</v>
      </c>
      <c r="E2774" s="13">
        <f>D2774/2693.14/12*1000</f>
        <v>2.710590611702325</v>
      </c>
      <c r="F2774" s="13">
        <v>102.33</v>
      </c>
      <c r="G2774" s="13">
        <f>F2774/2693.14/12*1000</f>
        <v>3.166378279628984</v>
      </c>
    </row>
    <row r="2775" spans="2:7" ht="12.75" customHeight="1">
      <c r="B2775" s="14" t="s">
        <v>17</v>
      </c>
      <c r="C2775" s="14"/>
      <c r="D2775" s="1">
        <f>D2776+D2777+D2778</f>
        <v>181.2</v>
      </c>
      <c r="E2775" s="13">
        <f>D2775/2693.14/12*1000</f>
        <v>5.606838114617138</v>
      </c>
      <c r="F2775" s="12">
        <f>F2776+F2777+F2778</f>
        <v>228.27</v>
      </c>
      <c r="G2775" s="13">
        <f>F2775/2713.4/12*1000</f>
        <v>7.010577135696912</v>
      </c>
    </row>
    <row r="2776" spans="2:7" ht="12.75">
      <c r="B2776" s="2"/>
      <c r="C2776" s="15" t="s">
        <v>18</v>
      </c>
      <c r="D2776" s="9">
        <v>147.2</v>
      </c>
      <c r="E2776" s="13">
        <f>D2776/2693.14/12*1000</f>
        <v>4.554782397746372</v>
      </c>
      <c r="F2776" s="9">
        <f>51.7+9.17+86.5</f>
        <v>147.37</v>
      </c>
      <c r="G2776" s="13">
        <f>F2776/2713.4/12*1000</f>
        <v>4.525994447310877</v>
      </c>
    </row>
    <row r="2777" spans="2:7" ht="12.75">
      <c r="B2777" s="2"/>
      <c r="C2777" s="15" t="s">
        <v>19</v>
      </c>
      <c r="D2777" s="18">
        <v>34</v>
      </c>
      <c r="E2777" s="13">
        <f>D2777/2693.14/12*1000</f>
        <v>1.0520557168707656</v>
      </c>
      <c r="F2777" s="45">
        <v>80.9</v>
      </c>
      <c r="G2777" s="13">
        <f>F2777/2713.4/12*1000</f>
        <v>2.484582688386035</v>
      </c>
    </row>
    <row r="2778" spans="2:7" ht="12.75">
      <c r="B2778" s="32" t="s">
        <v>20</v>
      </c>
      <c r="C2778" s="32"/>
      <c r="D2778" s="18">
        <v>0</v>
      </c>
      <c r="E2778" s="13">
        <f>D2778/2693.14/12*1000</f>
        <v>0</v>
      </c>
      <c r="F2778" s="18">
        <v>0</v>
      </c>
      <c r="G2778" s="13">
        <f>F2778/2713.4/12*1000</f>
        <v>0</v>
      </c>
    </row>
    <row r="2779" spans="2:7" ht="12.75" customHeight="1">
      <c r="B2779" s="19" t="s">
        <v>21</v>
      </c>
      <c r="C2779" s="19"/>
      <c r="D2779" s="13">
        <f>D2780+D2782+D2781</f>
        <v>201.99</v>
      </c>
      <c r="E2779" s="13">
        <f>D2779/2693.14/12*1000</f>
        <v>6.250139242668411</v>
      </c>
      <c r="F2779" s="13">
        <f>F2780+F2782+F2781</f>
        <v>206.96999999999997</v>
      </c>
      <c r="G2779" s="13">
        <f>F2779/2713.4/12*1000</f>
        <v>6.356416304267707</v>
      </c>
    </row>
    <row r="2780" spans="2:7" ht="12.75">
      <c r="B2780" s="2"/>
      <c r="C2780" s="15" t="s">
        <v>22</v>
      </c>
      <c r="D2780" s="9">
        <v>169.34</v>
      </c>
      <c r="E2780" s="13">
        <f>D2780/2693.14/12*1000</f>
        <v>5.239856326320455</v>
      </c>
      <c r="F2780" s="8">
        <f>120.76+36.83+5.28+16.29+2.2+11+6.07+1.89</f>
        <v>200.31999999999996</v>
      </c>
      <c r="G2780" s="13">
        <f>F2780/2713.4/12*1000</f>
        <v>6.152182993046853</v>
      </c>
    </row>
    <row r="2781" spans="2:7" ht="12.75">
      <c r="B2781" s="2"/>
      <c r="C2781" s="15" t="s">
        <v>23</v>
      </c>
      <c r="D2781" s="9">
        <v>30.05</v>
      </c>
      <c r="E2781" s="13">
        <f>D2781/2693.14/12*1000</f>
        <v>0.9298315968225442</v>
      </c>
      <c r="F2781" s="9">
        <v>5.22</v>
      </c>
      <c r="G2781" s="13">
        <f>F2781/2713.4/12*1000</f>
        <v>0.16031547136433993</v>
      </c>
    </row>
    <row r="2782" spans="2:7" ht="12.75">
      <c r="B2782" s="2"/>
      <c r="C2782" s="20" t="s">
        <v>24</v>
      </c>
      <c r="D2782" s="9">
        <v>2.6</v>
      </c>
      <c r="E2782" s="13">
        <f>D2782/2693.14/12*1000</f>
        <v>0.08045131952541149</v>
      </c>
      <c r="F2782" s="9">
        <v>1.43</v>
      </c>
      <c r="G2782" s="13">
        <f>F2782/2713.4/12*1000</f>
        <v>0.04391783985651458</v>
      </c>
    </row>
    <row r="2783" spans="2:7" ht="12.75">
      <c r="B2783" s="11" t="s">
        <v>25</v>
      </c>
      <c r="C2783" s="11"/>
      <c r="D2783" s="13">
        <v>19.07</v>
      </c>
      <c r="E2783" s="13">
        <f>D2783/2693.14/12*1000</f>
        <v>0.5900794859036912</v>
      </c>
      <c r="F2783" s="13">
        <v>20.7</v>
      </c>
      <c r="G2783" s="13">
        <f>F2783/2713.4/12*1000</f>
        <v>0.6357337657551412</v>
      </c>
    </row>
    <row r="2784" spans="2:7" ht="12.75">
      <c r="B2784" s="21" t="s">
        <v>26</v>
      </c>
      <c r="C2784" s="21"/>
      <c r="D2784" s="13">
        <v>99.9</v>
      </c>
      <c r="E2784" s="13">
        <f>D2784/2693.14/12*1000</f>
        <v>3.091187238687926</v>
      </c>
      <c r="F2784" s="1">
        <f>18.1+83.06</f>
        <v>101.16</v>
      </c>
      <c r="G2784" s="13">
        <f>F2784/2713.4/12*1000</f>
        <v>3.1068032726468635</v>
      </c>
    </row>
    <row r="2785" spans="2:7" ht="12.75">
      <c r="B2785" s="21"/>
      <c r="C2785" s="22" t="s">
        <v>27</v>
      </c>
      <c r="D2785" s="13">
        <v>0</v>
      </c>
      <c r="E2785" s="13">
        <f>D2785/2693.14/12*1000</f>
        <v>0</v>
      </c>
      <c r="F2785" s="13">
        <v>21.33</v>
      </c>
      <c r="G2785" s="13">
        <f>F2785/2713.4/12*1000</f>
        <v>0.6550821847129062</v>
      </c>
    </row>
    <row r="2786" spans="2:7" ht="12.75">
      <c r="B2786" s="2"/>
      <c r="C2786" s="10" t="s">
        <v>28</v>
      </c>
      <c r="D2786" s="12">
        <f>D2774+D2775+D2779+D2783+D2784</f>
        <v>589.76</v>
      </c>
      <c r="E2786" s="13">
        <f>E2774+E2775+E2779+E2783+E2784</f>
        <v>18.24883469357949</v>
      </c>
      <c r="F2786" s="12">
        <f>F2774+F2775+F2779+F2783+F2784+F2785</f>
        <v>680.76</v>
      </c>
      <c r="G2786" s="13">
        <f>G2774+G2775+G2779+G2783+G2784+G2785</f>
        <v>20.930990942708515</v>
      </c>
    </row>
    <row r="2787" spans="2:7" ht="12.75">
      <c r="B2787" s="2">
        <v>4</v>
      </c>
      <c r="C2787" s="10" t="s">
        <v>29</v>
      </c>
      <c r="D2787" s="13">
        <v>58.98</v>
      </c>
      <c r="E2787" s="12">
        <v>1.8</v>
      </c>
      <c r="F2787" s="12"/>
      <c r="G2787" s="12"/>
    </row>
    <row r="2788" spans="2:7" ht="12.75">
      <c r="B2788" s="5">
        <v>5</v>
      </c>
      <c r="C2788" s="10" t="s">
        <v>13</v>
      </c>
      <c r="D2788" s="13">
        <f>D2786+D2787</f>
        <v>648.74</v>
      </c>
      <c r="E2788" s="13">
        <f>E2786+E2787</f>
        <v>20.04883469357949</v>
      </c>
      <c r="F2788" s="13">
        <f>F2786-F2771/1000</f>
        <v>-11.064840000000004</v>
      </c>
      <c r="G2788" s="13"/>
    </row>
    <row r="2789" spans="2:7" ht="12.75">
      <c r="B2789" s="5"/>
      <c r="C2789" s="10"/>
      <c r="D2789" s="13"/>
      <c r="E2789" s="13"/>
      <c r="F2789" s="13"/>
      <c r="G2789" s="13"/>
    </row>
    <row r="2790" spans="2:7" ht="12.75">
      <c r="B2790" s="11" t="s">
        <v>30</v>
      </c>
      <c r="C2790" s="11"/>
      <c r="D2790" s="33" t="s">
        <v>6</v>
      </c>
      <c r="E2790" s="25"/>
      <c r="F2790" s="25"/>
      <c r="G2790" s="13"/>
    </row>
    <row r="2791" spans="2:7" ht="12.75">
      <c r="B2791" s="25"/>
      <c r="C2791" s="34" t="s">
        <v>31</v>
      </c>
      <c r="D2791" s="35">
        <v>30646.78</v>
      </c>
      <c r="E2791" s="25"/>
      <c r="F2791" s="25"/>
      <c r="G2791" s="13"/>
    </row>
    <row r="2792" spans="2:7" ht="12.75">
      <c r="B2792" s="5"/>
      <c r="C2792" s="23" t="s">
        <v>32</v>
      </c>
      <c r="D2792" s="35">
        <v>25493.96</v>
      </c>
      <c r="E2792" s="25"/>
      <c r="F2792" s="25"/>
      <c r="G2792" s="13"/>
    </row>
    <row r="2793" spans="2:7" ht="12.75">
      <c r="B2793" s="5"/>
      <c r="C2793" s="36" t="s">
        <v>13</v>
      </c>
      <c r="D2793" s="33">
        <f>D2792-D2791</f>
        <v>-5152.82</v>
      </c>
      <c r="E2793" s="25"/>
      <c r="F2793" s="25"/>
      <c r="G2793" s="13"/>
    </row>
    <row r="2794" spans="2:7" ht="12.75">
      <c r="B2794" s="5"/>
      <c r="C2794" s="34" t="s">
        <v>33</v>
      </c>
      <c r="D2794" s="35">
        <v>33905.19</v>
      </c>
      <c r="E2794" s="25"/>
      <c r="F2794" s="25"/>
      <c r="G2794" s="13"/>
    </row>
    <row r="2795" spans="2:7" ht="12.75">
      <c r="B2795" s="5"/>
      <c r="C2795" s="23" t="s">
        <v>34</v>
      </c>
      <c r="D2795" s="35">
        <v>28196.73</v>
      </c>
      <c r="E2795" s="25"/>
      <c r="F2795" s="25"/>
      <c r="G2795" s="13"/>
    </row>
    <row r="2796" spans="2:7" ht="12.75">
      <c r="B2796" s="5"/>
      <c r="C2796" s="36" t="s">
        <v>13</v>
      </c>
      <c r="D2796" s="33">
        <f>D2795-D2794</f>
        <v>-5708.460000000003</v>
      </c>
      <c r="E2796" s="25"/>
      <c r="F2796" s="25"/>
      <c r="G2796" s="13"/>
    </row>
    <row r="2797" spans="2:7" ht="12.75">
      <c r="B2797" s="5"/>
      <c r="C2797" s="34" t="s">
        <v>143</v>
      </c>
      <c r="D2797" s="33">
        <v>0</v>
      </c>
      <c r="E2797" s="25"/>
      <c r="F2797" s="25"/>
      <c r="G2797" s="13"/>
    </row>
    <row r="2798" spans="2:7" ht="12.75">
      <c r="B2798" s="5"/>
      <c r="C2798" s="23" t="s">
        <v>77</v>
      </c>
      <c r="D2798" s="33">
        <v>0.68</v>
      </c>
      <c r="E2798" s="25"/>
      <c r="F2798" s="25"/>
      <c r="G2798" s="13"/>
    </row>
    <row r="2799" spans="2:7" ht="12.75">
      <c r="B2799" s="5"/>
      <c r="C2799" s="36" t="s">
        <v>13</v>
      </c>
      <c r="D2799" s="33">
        <f>D2798-D2797</f>
        <v>0.68</v>
      </c>
      <c r="E2799" s="25"/>
      <c r="F2799" s="25"/>
      <c r="G2799" s="13"/>
    </row>
    <row r="2800" spans="2:7" ht="12.75">
      <c r="B2800" s="5"/>
      <c r="C2800" s="34" t="s">
        <v>42</v>
      </c>
      <c r="D2800" s="35">
        <v>4687.18</v>
      </c>
      <c r="E2800" s="25"/>
      <c r="F2800" s="25"/>
      <c r="G2800" s="13"/>
    </row>
    <row r="2801" spans="2:7" ht="12.75">
      <c r="B2801" s="5"/>
      <c r="C2801" s="23" t="s">
        <v>43</v>
      </c>
      <c r="D2801" s="35">
        <v>3366.32</v>
      </c>
      <c r="E2801" s="25"/>
      <c r="F2801" s="25"/>
      <c r="G2801" s="13"/>
    </row>
    <row r="2802" spans="2:7" ht="12.75">
      <c r="B2802" s="5"/>
      <c r="C2802" s="36" t="s">
        <v>13</v>
      </c>
      <c r="D2802" s="33">
        <f>D2801-D2800</f>
        <v>-1320.8600000000001</v>
      </c>
      <c r="E2802" s="25"/>
      <c r="F2802" s="25"/>
      <c r="G2802" s="13"/>
    </row>
    <row r="2803" spans="2:7" ht="12.75">
      <c r="B2803" s="11"/>
      <c r="C2803" s="36" t="s">
        <v>35</v>
      </c>
      <c r="D2803" s="50">
        <f>D2793+D2796+D2799+D2802</f>
        <v>-12181.460000000003</v>
      </c>
      <c r="E2803" s="25"/>
      <c r="F2803" s="25"/>
      <c r="G2803" s="13"/>
    </row>
    <row r="2804" spans="2:7" ht="12.75">
      <c r="B2804" s="11"/>
      <c r="C2804" s="11"/>
      <c r="D2804" s="27"/>
      <c r="E2804" s="25"/>
      <c r="F2804" s="25"/>
      <c r="G2804" s="13"/>
    </row>
    <row r="2805" spans="2:7" ht="12.75">
      <c r="B2805" s="11"/>
      <c r="C2805" s="14" t="s">
        <v>58</v>
      </c>
      <c r="D2805" s="27" t="s">
        <v>37</v>
      </c>
      <c r="E2805" s="25"/>
      <c r="F2805" s="24">
        <v>1.12</v>
      </c>
      <c r="G2805" s="13"/>
    </row>
    <row r="2806" spans="2:7" ht="12.75">
      <c r="B2806" s="5"/>
      <c r="C2806" s="14" t="s">
        <v>147</v>
      </c>
      <c r="D2806" s="13"/>
      <c r="E2806" s="13"/>
      <c r="F2806" s="37">
        <v>-8.8</v>
      </c>
      <c r="G2806" s="13"/>
    </row>
    <row r="2807" spans="2:7" ht="12.75">
      <c r="B2807" s="23" t="s">
        <v>39</v>
      </c>
      <c r="C2807" s="23"/>
      <c r="D2807" s="23"/>
      <c r="E2807" s="23"/>
      <c r="F2807" s="23"/>
      <c r="G2807" s="23"/>
    </row>
    <row r="2809" spans="2:7" ht="12.75">
      <c r="B2809" s="1" t="s">
        <v>0</v>
      </c>
      <c r="C2809" s="1"/>
      <c r="D2809" s="1"/>
      <c r="E2809" s="1"/>
      <c r="F2809" s="1"/>
      <c r="G2809" s="1"/>
    </row>
    <row r="2810" spans="2:7" ht="12.75">
      <c r="B2810" s="1" t="s">
        <v>51</v>
      </c>
      <c r="C2810" s="1"/>
      <c r="D2810" s="1"/>
      <c r="E2810" s="1"/>
      <c r="F2810" s="1"/>
      <c r="G2810" s="1"/>
    </row>
    <row r="2811" spans="2:7" ht="12.75">
      <c r="B2811" s="1" t="s">
        <v>174</v>
      </c>
      <c r="C2811" s="1"/>
      <c r="D2811" s="1"/>
      <c r="E2811" s="1"/>
      <c r="F2811" s="1"/>
      <c r="G2811" s="1"/>
    </row>
    <row r="2812" spans="2:7" ht="12.75" customHeight="1">
      <c r="B2812" s="2"/>
      <c r="C2812" s="2" t="s">
        <v>3</v>
      </c>
      <c r="D2812" s="3" t="s">
        <v>41</v>
      </c>
      <c r="E2812" s="3"/>
      <c r="F2812" s="4" t="s">
        <v>109</v>
      </c>
      <c r="G2812" s="4"/>
    </row>
    <row r="2813" spans="2:7" ht="12.75">
      <c r="B2813" s="2"/>
      <c r="C2813" s="2"/>
      <c r="D2813" s="3" t="s">
        <v>6</v>
      </c>
      <c r="E2813" s="3" t="s">
        <v>7</v>
      </c>
      <c r="F2813" s="3" t="s">
        <v>6</v>
      </c>
      <c r="G2813" s="3" t="s">
        <v>8</v>
      </c>
    </row>
    <row r="2814" spans="2:7" ht="12.75">
      <c r="B2814" s="5">
        <v>1</v>
      </c>
      <c r="C2814" s="6" t="s">
        <v>9</v>
      </c>
      <c r="D2814" s="13">
        <v>1451.95</v>
      </c>
      <c r="E2814" s="13"/>
      <c r="F2814" s="13">
        <v>1451.95</v>
      </c>
      <c r="G2814" s="13"/>
    </row>
    <row r="2815" spans="2:7" ht="12.75">
      <c r="B2815" s="5">
        <v>2</v>
      </c>
      <c r="C2815" s="7" t="s">
        <v>175</v>
      </c>
      <c r="D2815" s="8"/>
      <c r="E2815" s="8"/>
      <c r="F2815" s="8" t="s">
        <v>3</v>
      </c>
      <c r="G2815" s="8"/>
    </row>
    <row r="2816" spans="2:7" ht="12.75">
      <c r="B2816" s="5"/>
      <c r="C2816" s="34" t="s">
        <v>154</v>
      </c>
      <c r="D2816" s="9"/>
      <c r="E2816" s="9"/>
      <c r="F2816" s="9">
        <v>394498.56</v>
      </c>
      <c r="G2816" s="9"/>
    </row>
    <row r="2817" spans="2:7" ht="12.75">
      <c r="B2817" s="5"/>
      <c r="C2817" s="34" t="s">
        <v>159</v>
      </c>
      <c r="D2817" s="9"/>
      <c r="E2817" s="9"/>
      <c r="F2817" s="9">
        <v>391637.3</v>
      </c>
      <c r="G2817" s="9"/>
    </row>
    <row r="2818" spans="2:7" ht="12.75">
      <c r="B2818" s="5"/>
      <c r="C2818" s="2" t="s">
        <v>13</v>
      </c>
      <c r="D2818" s="9"/>
      <c r="E2818" s="9"/>
      <c r="F2818" s="9">
        <f>F2817-F2816</f>
        <v>-2861.2600000000093</v>
      </c>
      <c r="G2818" s="9"/>
    </row>
    <row r="2819" spans="2:7" ht="12.75">
      <c r="B2819" s="5">
        <v>3</v>
      </c>
      <c r="C2819" s="10" t="s">
        <v>14</v>
      </c>
      <c r="D2819" s="1" t="s">
        <v>15</v>
      </c>
      <c r="E2819" s="1"/>
      <c r="F2819" s="1" t="s">
        <v>15</v>
      </c>
      <c r="G2819" s="1"/>
    </row>
    <row r="2820" spans="2:7" ht="12.75">
      <c r="B2820" s="11" t="s">
        <v>16</v>
      </c>
      <c r="C2820" s="11"/>
      <c r="D2820" s="13">
        <v>50.94</v>
      </c>
      <c r="E2820" s="13">
        <f>D2820/1451.95/12*1000</f>
        <v>2.9236543958125276</v>
      </c>
      <c r="F2820" s="13">
        <v>53.26</v>
      </c>
      <c r="G2820" s="13">
        <f>F2820/1451.95/12*1000</f>
        <v>3.056808659618673</v>
      </c>
    </row>
    <row r="2821" spans="2:7" ht="12.75" customHeight="1">
      <c r="B2821" s="14" t="s">
        <v>17</v>
      </c>
      <c r="C2821" s="14"/>
      <c r="D2821" s="1">
        <f>D2822+D2823+D2824</f>
        <v>117.9</v>
      </c>
      <c r="E2821" s="13">
        <f>D2821/1451.95/12*1000</f>
        <v>6.766761940838184</v>
      </c>
      <c r="F2821" s="12">
        <f>F2822+F2823+F2824</f>
        <v>159.69</v>
      </c>
      <c r="G2821" s="13">
        <f>F2821/1451.95/12*1000</f>
        <v>9.16526051172561</v>
      </c>
    </row>
    <row r="2822" spans="2:7" ht="12.75">
      <c r="B2822" s="2"/>
      <c r="C2822" s="15" t="s">
        <v>18</v>
      </c>
      <c r="D2822" s="9">
        <v>75.9</v>
      </c>
      <c r="E2822" s="13">
        <f>D2822/1451.95/12*1000</f>
        <v>4.356210613313131</v>
      </c>
      <c r="F2822" s="9">
        <f>27.88+6.66+46.65</f>
        <v>81.19</v>
      </c>
      <c r="G2822" s="13">
        <f>F2822/1451.95/12*1000</f>
        <v>4.659825292422833</v>
      </c>
    </row>
    <row r="2823" spans="2:7" ht="12.75">
      <c r="B2823" s="2"/>
      <c r="C2823" s="15" t="s">
        <v>19</v>
      </c>
      <c r="D2823" s="18">
        <v>42</v>
      </c>
      <c r="E2823" s="13">
        <f>D2823/1451.95/12*1000</f>
        <v>2.4105513275250527</v>
      </c>
      <c r="F2823" s="45">
        <v>75.7</v>
      </c>
      <c r="G2823" s="13">
        <f>F2823/1451.95/12*1000</f>
        <v>4.344731797467773</v>
      </c>
    </row>
    <row r="2824" spans="2:7" ht="12.75">
      <c r="B2824" s="32" t="s">
        <v>20</v>
      </c>
      <c r="C2824" s="32"/>
      <c r="D2824" s="18">
        <v>0</v>
      </c>
      <c r="E2824" s="13">
        <f>D2824/1451.95/12*1000</f>
        <v>0</v>
      </c>
      <c r="F2824" s="18">
        <v>2.8</v>
      </c>
      <c r="G2824" s="13">
        <f>F2824/1451.95/12*1000</f>
        <v>0.16070342183500347</v>
      </c>
    </row>
    <row r="2825" spans="2:7" ht="12.75" customHeight="1">
      <c r="B2825" s="19" t="s">
        <v>21</v>
      </c>
      <c r="C2825" s="19"/>
      <c r="D2825" s="13">
        <f>D2826+D2828+D2827</f>
        <v>108.89</v>
      </c>
      <c r="E2825" s="13">
        <f>D2825/1451.95/12*1000</f>
        <v>6.249641287004833</v>
      </c>
      <c r="F2825" s="13">
        <f>F2826+F2828+F2827</f>
        <v>110.60000000000001</v>
      </c>
      <c r="G2825" s="13">
        <f>F2825/1451.95/12*1000</f>
        <v>6.347785162482639</v>
      </c>
    </row>
    <row r="2826" spans="2:7" ht="12.75">
      <c r="B2826" s="2"/>
      <c r="C2826" s="15" t="s">
        <v>22</v>
      </c>
      <c r="D2826" s="9">
        <v>91.3</v>
      </c>
      <c r="E2826" s="13">
        <f>D2826/1451.95/12*1000</f>
        <v>5.24007943340565</v>
      </c>
      <c r="F2826" s="8">
        <f>65.1+19.86+2.85+8.78+1.18+4.04+4+0.15+1</f>
        <v>106.96000000000001</v>
      </c>
      <c r="G2826" s="13">
        <f>F2826/1451.95/12*1000</f>
        <v>6.138870714097134</v>
      </c>
    </row>
    <row r="2827" spans="2:7" ht="12.75">
      <c r="B2827" s="2"/>
      <c r="C2827" s="15" t="s">
        <v>23</v>
      </c>
      <c r="D2827" s="9">
        <v>16.2</v>
      </c>
      <c r="E2827" s="13">
        <f>D2827/1451.95/12*1000</f>
        <v>0.9297840834739487</v>
      </c>
      <c r="F2827" s="9">
        <v>3.64</v>
      </c>
      <c r="G2827" s="13">
        <f>F2827/1451.95/12*1000</f>
        <v>0.20891444838550455</v>
      </c>
    </row>
    <row r="2828" spans="2:7" ht="12.75">
      <c r="B2828" s="2"/>
      <c r="C2828" s="20" t="s">
        <v>24</v>
      </c>
      <c r="D2828" s="9">
        <v>1.39</v>
      </c>
      <c r="E2828" s="13">
        <f>D2828/1451.95/12*1000</f>
        <v>0.07977777012523389</v>
      </c>
      <c r="F2828" s="9">
        <v>0</v>
      </c>
      <c r="G2828" s="13">
        <f>F2828/1451.95/12*1000</f>
        <v>0</v>
      </c>
    </row>
    <row r="2829" spans="2:7" ht="12.75">
      <c r="B2829" s="11" t="s">
        <v>25</v>
      </c>
      <c r="C2829" s="11"/>
      <c r="D2829" s="13">
        <v>11.3</v>
      </c>
      <c r="E2829" s="13">
        <f>D2829/1451.95/12*1000</f>
        <v>0.6485530952626927</v>
      </c>
      <c r="F2829" s="13">
        <v>11.69</v>
      </c>
      <c r="G2829" s="13">
        <f>F2829/1451.95/12*1000</f>
        <v>0.6709367861611396</v>
      </c>
    </row>
    <row r="2830" spans="2:7" ht="12.75">
      <c r="B2830" s="21" t="s">
        <v>26</v>
      </c>
      <c r="C2830" s="21"/>
      <c r="D2830" s="13">
        <v>53.84</v>
      </c>
      <c r="E2830" s="13">
        <f>D2830/1451.95/12*1000</f>
        <v>3.09009722557021</v>
      </c>
      <c r="F2830" s="1">
        <f>9.76+44.78</f>
        <v>54.54</v>
      </c>
      <c r="G2830" s="13">
        <f>F2830/1451.95/12*1000</f>
        <v>3.1302730810289607</v>
      </c>
    </row>
    <row r="2831" spans="2:7" ht="12.75">
      <c r="B2831" s="2"/>
      <c r="C2831" s="10" t="s">
        <v>28</v>
      </c>
      <c r="D2831" s="12">
        <f>D2820+D2821+D2825+D2829+D2830</f>
        <v>342.87</v>
      </c>
      <c r="E2831" s="12">
        <f>E2820+E2821+E2825+E2829+E2830</f>
        <v>19.678707944488448</v>
      </c>
      <c r="F2831" s="12">
        <f>F2820+F2821+F2825+F2829+F2830</f>
        <v>389.78000000000003</v>
      </c>
      <c r="G2831" s="13">
        <f>G2820+G2821+G2825+G2829+G2830</f>
        <v>22.37106420101702</v>
      </c>
    </row>
    <row r="2832" spans="2:7" ht="12.75">
      <c r="B2832" s="2">
        <v>4</v>
      </c>
      <c r="C2832" s="10" t="s">
        <v>29</v>
      </c>
      <c r="D2832" s="13">
        <v>34.3</v>
      </c>
      <c r="E2832" s="13">
        <v>1.97</v>
      </c>
      <c r="F2832" s="12"/>
      <c r="G2832" s="12"/>
    </row>
    <row r="2833" spans="2:7" ht="12.75">
      <c r="B2833" s="5">
        <v>5</v>
      </c>
      <c r="C2833" s="10" t="s">
        <v>13</v>
      </c>
      <c r="D2833" s="13">
        <f>D2831+D2832</f>
        <v>377.17</v>
      </c>
      <c r="E2833" s="13">
        <f>E2831+E2832</f>
        <v>21.648707944488446</v>
      </c>
      <c r="F2833" s="13">
        <f>F2831-F2817/1000</f>
        <v>-1.8572999999999524</v>
      </c>
      <c r="G2833" s="13"/>
    </row>
    <row r="2834" spans="2:7" ht="12.75">
      <c r="B2834" s="5"/>
      <c r="C2834" s="10"/>
      <c r="D2834" s="13"/>
      <c r="E2834" s="13"/>
      <c r="F2834" s="13"/>
      <c r="G2834" s="13"/>
    </row>
    <row r="2835" spans="2:7" ht="12.75">
      <c r="B2835" s="5"/>
      <c r="C2835" s="14" t="s">
        <v>150</v>
      </c>
      <c r="D2835" s="13"/>
      <c r="E2835" s="13"/>
      <c r="F2835" s="37">
        <v>226.7</v>
      </c>
      <c r="G2835" s="13"/>
    </row>
    <row r="2836" spans="2:7" ht="12.75">
      <c r="B2836" s="23" t="s">
        <v>39</v>
      </c>
      <c r="C2836" s="23"/>
      <c r="D2836" s="23"/>
      <c r="E2836" s="23"/>
      <c r="F2836" s="23"/>
      <c r="G2836" s="23"/>
    </row>
    <row r="2838" spans="2:7" ht="12.75">
      <c r="B2838" s="1" t="s">
        <v>0</v>
      </c>
      <c r="C2838" s="1"/>
      <c r="D2838" s="1"/>
      <c r="E2838" s="1"/>
      <c r="F2838" s="1"/>
      <c r="G2838" s="1"/>
    </row>
    <row r="2839" spans="2:7" ht="12.75">
      <c r="B2839" s="1" t="s">
        <v>51</v>
      </c>
      <c r="C2839" s="1"/>
      <c r="D2839" s="1"/>
      <c r="E2839" s="1"/>
      <c r="F2839" s="1"/>
      <c r="G2839" s="1"/>
    </row>
    <row r="2840" spans="2:7" ht="12.75">
      <c r="B2840" s="1" t="s">
        <v>176</v>
      </c>
      <c r="C2840" s="1"/>
      <c r="D2840" s="1"/>
      <c r="E2840" s="1"/>
      <c r="F2840" s="1"/>
      <c r="G2840" s="1"/>
    </row>
    <row r="2841" spans="2:7" ht="12.75" customHeight="1">
      <c r="B2841" s="2"/>
      <c r="C2841" s="2" t="s">
        <v>3</v>
      </c>
      <c r="D2841" s="3" t="s">
        <v>41</v>
      </c>
      <c r="E2841" s="3"/>
      <c r="F2841" s="4" t="s">
        <v>109</v>
      </c>
      <c r="G2841" s="4"/>
    </row>
    <row r="2842" spans="2:7" ht="12.75">
      <c r="B2842" s="2"/>
      <c r="C2842" s="2"/>
      <c r="D2842" s="3" t="s">
        <v>6</v>
      </c>
      <c r="E2842" s="3" t="s">
        <v>7</v>
      </c>
      <c r="F2842" s="3" t="s">
        <v>6</v>
      </c>
      <c r="G2842" s="3" t="s">
        <v>8</v>
      </c>
    </row>
    <row r="2843" spans="2:7" ht="12.75">
      <c r="B2843" s="5">
        <v>1</v>
      </c>
      <c r="C2843" s="6" t="s">
        <v>9</v>
      </c>
      <c r="D2843" s="13">
        <v>3549.9</v>
      </c>
      <c r="E2843" s="13"/>
      <c r="F2843" s="13">
        <v>3549.9</v>
      </c>
      <c r="G2843" s="13"/>
    </row>
    <row r="2844" spans="2:7" ht="12.75">
      <c r="B2844" s="5">
        <v>2</v>
      </c>
      <c r="C2844" s="7" t="s">
        <v>145</v>
      </c>
      <c r="D2844" s="8"/>
      <c r="E2844" s="8"/>
      <c r="F2844" s="8" t="s">
        <v>3</v>
      </c>
      <c r="G2844" s="8"/>
    </row>
    <row r="2845" spans="2:7" ht="12.75">
      <c r="B2845" s="5"/>
      <c r="C2845" s="34" t="s">
        <v>164</v>
      </c>
      <c r="D2845" s="9"/>
      <c r="E2845" s="9"/>
      <c r="F2845" s="9">
        <v>898617.94</v>
      </c>
      <c r="G2845" s="9"/>
    </row>
    <row r="2846" spans="2:7" ht="12.75">
      <c r="B2846" s="5"/>
      <c r="C2846" s="34" t="s">
        <v>173</v>
      </c>
      <c r="D2846" s="9"/>
      <c r="E2846" s="9"/>
      <c r="F2846" s="9">
        <v>876456.79</v>
      </c>
      <c r="G2846" s="9"/>
    </row>
    <row r="2847" spans="2:7" ht="12.75">
      <c r="B2847" s="5"/>
      <c r="C2847" s="2" t="s">
        <v>13</v>
      </c>
      <c r="D2847" s="9"/>
      <c r="E2847" s="9"/>
      <c r="F2847" s="9">
        <f>F2846-F2845</f>
        <v>-22161.149999999907</v>
      </c>
      <c r="G2847" s="9"/>
    </row>
    <row r="2848" spans="2:7" ht="12.75">
      <c r="B2848" s="5">
        <v>3</v>
      </c>
      <c r="C2848" s="10" t="s">
        <v>14</v>
      </c>
      <c r="D2848" s="1" t="s">
        <v>15</v>
      </c>
      <c r="E2848" s="1"/>
      <c r="F2848" s="1" t="s">
        <v>15</v>
      </c>
      <c r="G2848" s="1"/>
    </row>
    <row r="2849" spans="2:7" ht="12.75">
      <c r="B2849" s="11" t="s">
        <v>16</v>
      </c>
      <c r="C2849" s="11"/>
      <c r="D2849" s="13">
        <v>115.44</v>
      </c>
      <c r="E2849" s="13">
        <f>D2849/3549.9/12*1000</f>
        <v>2.7099354911405955</v>
      </c>
      <c r="F2849" s="13">
        <v>121.3</v>
      </c>
      <c r="G2849" s="13">
        <f>F2849/3549.9/12*1000</f>
        <v>2.8474980515883073</v>
      </c>
    </row>
    <row r="2850" spans="2:7" ht="12.75" customHeight="1">
      <c r="B2850" s="14" t="s">
        <v>17</v>
      </c>
      <c r="C2850" s="14"/>
      <c r="D2850" s="1">
        <f>D2851+D2852+D2853</f>
        <v>239</v>
      </c>
      <c r="E2850" s="13">
        <f>D2850/3549.9/12*1000</f>
        <v>5.610486680375973</v>
      </c>
      <c r="F2850" s="12">
        <f>F2851+F2852+F2853</f>
        <v>398.46000000000004</v>
      </c>
      <c r="G2850" s="13">
        <f>F2850/3549.9/12*1000</f>
        <v>9.35378461365109</v>
      </c>
    </row>
    <row r="2851" spans="2:7" ht="12.75">
      <c r="B2851" s="2"/>
      <c r="C2851" s="15" t="s">
        <v>18</v>
      </c>
      <c r="D2851" s="9">
        <v>185.5</v>
      </c>
      <c r="E2851" s="13">
        <f>D2851/3549.9/12*1000</f>
        <v>4.354582758199761</v>
      </c>
      <c r="F2851" s="9">
        <f>68.18+6.6+114.08</f>
        <v>188.86</v>
      </c>
      <c r="G2851" s="13">
        <f>F2851/3549.9/12*1000</f>
        <v>4.433458219480361</v>
      </c>
    </row>
    <row r="2852" spans="2:7" ht="12.75">
      <c r="B2852" s="2"/>
      <c r="C2852" s="15" t="s">
        <v>19</v>
      </c>
      <c r="D2852" s="18">
        <v>53.5</v>
      </c>
      <c r="E2852" s="13">
        <f>D2852/3549.9/12*1000</f>
        <v>1.2559039221762116</v>
      </c>
      <c r="F2852" s="45">
        <v>190</v>
      </c>
      <c r="G2852" s="13">
        <f>F2852/3549.9/12*1000</f>
        <v>4.460219536700564</v>
      </c>
    </row>
    <row r="2853" spans="2:7" ht="12.75">
      <c r="B2853" s="32" t="s">
        <v>20</v>
      </c>
      <c r="C2853" s="32"/>
      <c r="D2853" s="18">
        <v>0</v>
      </c>
      <c r="E2853" s="13">
        <f>D2853/3549.9/12*1000</f>
        <v>0</v>
      </c>
      <c r="F2853" s="18">
        <v>19.6</v>
      </c>
      <c r="G2853" s="13">
        <f>F2853/3549.9/12*1000</f>
        <v>0.4601068574701635</v>
      </c>
    </row>
    <row r="2854" spans="2:7" ht="12.75" customHeight="1">
      <c r="B2854" s="19" t="s">
        <v>21</v>
      </c>
      <c r="C2854" s="19"/>
      <c r="D2854" s="13">
        <f>D2855+D2857+D2856</f>
        <v>266.21</v>
      </c>
      <c r="E2854" s="13">
        <f>D2854/3549.9/12*1000</f>
        <v>6.249237067710827</v>
      </c>
      <c r="F2854" s="13">
        <f>F2855+F2857+F2856</f>
        <v>263.39000000000004</v>
      </c>
      <c r="G2854" s="13">
        <f>F2854/3549.9/12*1000</f>
        <v>6.183038019850326</v>
      </c>
    </row>
    <row r="2855" spans="2:7" ht="12.75">
      <c r="B2855" s="2"/>
      <c r="C2855" s="15" t="s">
        <v>22</v>
      </c>
      <c r="D2855" s="9">
        <v>223.2</v>
      </c>
      <c r="E2855" s="13">
        <f>D2855/3549.9/12*1000</f>
        <v>5.23958421363982</v>
      </c>
      <c r="F2855" s="8">
        <f>159.22+48.56+7+21.47+2.9+3.3+10.14+0.36+2.5</f>
        <v>255.45000000000005</v>
      </c>
      <c r="G2855" s="13">
        <f>F2855/3549.9/12*1000</f>
        <v>5.996647792895575</v>
      </c>
    </row>
    <row r="2856" spans="2:7" ht="12.75">
      <c r="B2856" s="2"/>
      <c r="C2856" s="15" t="s">
        <v>23</v>
      </c>
      <c r="D2856" s="9">
        <v>39.6</v>
      </c>
      <c r="E2856" s="13">
        <f>D2856/3549.9/12*1000</f>
        <v>0.929603650807065</v>
      </c>
      <c r="F2856" s="9">
        <v>7.26</v>
      </c>
      <c r="G2856" s="13">
        <f>F2856/3549.9/12*1000</f>
        <v>0.17042733598129522</v>
      </c>
    </row>
    <row r="2857" spans="2:7" ht="12.75">
      <c r="B2857" s="2"/>
      <c r="C2857" s="20" t="s">
        <v>24</v>
      </c>
      <c r="D2857" s="9">
        <v>3.41</v>
      </c>
      <c r="E2857" s="13">
        <f>D2857/3549.9/12*1000</f>
        <v>0.08004920326394172</v>
      </c>
      <c r="F2857" s="9">
        <v>0.68</v>
      </c>
      <c r="G2857" s="13">
        <f>F2857/3549.9/12*1000</f>
        <v>0.015962890973454654</v>
      </c>
    </row>
    <row r="2858" spans="2:7" ht="12.75">
      <c r="B2858" s="11" t="s">
        <v>25</v>
      </c>
      <c r="C2858" s="11"/>
      <c r="D2858" s="13">
        <v>25.13</v>
      </c>
      <c r="E2858" s="13">
        <f>D2858/3549.9/12*1000</f>
        <v>0.5899227208278167</v>
      </c>
      <c r="F2858" s="13">
        <v>26.22</v>
      </c>
      <c r="G2858" s="13">
        <f>F2858/3549.9/12*1000</f>
        <v>0.6155102960646779</v>
      </c>
    </row>
    <row r="2859" spans="2:7" ht="12.75">
      <c r="B2859" s="21" t="s">
        <v>26</v>
      </c>
      <c r="C2859" s="21"/>
      <c r="D2859" s="13">
        <v>131.63</v>
      </c>
      <c r="E2859" s="13">
        <f>D2859/3549.9/12*1000</f>
        <v>3.089993145346817</v>
      </c>
      <c r="F2859" s="1">
        <f>23.86+109.51</f>
        <v>133.37</v>
      </c>
      <c r="G2859" s="13">
        <f>F2859/3549.9/12*1000</f>
        <v>3.1308393663671277</v>
      </c>
    </row>
    <row r="2860" spans="2:7" ht="12.75">
      <c r="B2860" s="2"/>
      <c r="C2860" s="10" t="s">
        <v>28</v>
      </c>
      <c r="D2860" s="12">
        <f>D2849+D2850+D2854+D2858+D2859</f>
        <v>777.41</v>
      </c>
      <c r="E2860" s="12">
        <f>E2849+E2850+E2854+E2858+E2859</f>
        <v>18.24957510540203</v>
      </c>
      <c r="F2860" s="12">
        <f>F2849+F2850+F2854+F2858+F2859</f>
        <v>942.7400000000001</v>
      </c>
      <c r="G2860" s="13">
        <f>G2849+G2850+G2854+G2858+G2859</f>
        <v>22.130670347521527</v>
      </c>
    </row>
    <row r="2861" spans="2:7" ht="12.75">
      <c r="B2861" s="2">
        <v>4</v>
      </c>
      <c r="C2861" s="10" t="s">
        <v>29</v>
      </c>
      <c r="D2861" s="13">
        <v>77.7</v>
      </c>
      <c r="E2861" s="12">
        <v>1.8</v>
      </c>
      <c r="F2861" s="12"/>
      <c r="G2861" s="12"/>
    </row>
    <row r="2862" spans="2:7" ht="12.75">
      <c r="B2862" s="5">
        <v>5</v>
      </c>
      <c r="C2862" s="10" t="s">
        <v>13</v>
      </c>
      <c r="D2862" s="13">
        <f>D2860+D2861</f>
        <v>855.11</v>
      </c>
      <c r="E2862" s="13">
        <f>E2860+E2861</f>
        <v>20.04957510540203</v>
      </c>
      <c r="F2862" s="13">
        <f>F2860-F2846/1000</f>
        <v>66.28321000000005</v>
      </c>
      <c r="G2862" s="13"/>
    </row>
    <row r="2863" spans="2:7" ht="12.75">
      <c r="B2863" s="5"/>
      <c r="C2863" s="10"/>
      <c r="D2863" s="13"/>
      <c r="E2863" s="13"/>
      <c r="F2863" s="13"/>
      <c r="G2863" s="13"/>
    </row>
    <row r="2864" spans="2:7" ht="12.75">
      <c r="B2864" s="5"/>
      <c r="C2864" s="14" t="s">
        <v>150</v>
      </c>
      <c r="D2864" s="13"/>
      <c r="E2864" s="13"/>
      <c r="F2864" s="37">
        <v>163.3</v>
      </c>
      <c r="G2864" s="13"/>
    </row>
    <row r="2865" spans="2:7" ht="12.75">
      <c r="B2865" s="23" t="s">
        <v>39</v>
      </c>
      <c r="C2865" s="23"/>
      <c r="D2865" s="23"/>
      <c r="E2865" s="23"/>
      <c r="F2865" s="23"/>
      <c r="G2865" s="23"/>
    </row>
    <row r="2867" spans="2:7" ht="12.75">
      <c r="B2867" s="1" t="s">
        <v>0</v>
      </c>
      <c r="C2867" s="1"/>
      <c r="D2867" s="1"/>
      <c r="E2867" s="1"/>
      <c r="F2867" s="1"/>
      <c r="G2867" s="1"/>
    </row>
    <row r="2868" spans="2:7" ht="12.75">
      <c r="B2868" s="1" t="s">
        <v>51</v>
      </c>
      <c r="C2868" s="1"/>
      <c r="D2868" s="1"/>
      <c r="E2868" s="1"/>
      <c r="F2868" s="1"/>
      <c r="G2868" s="1"/>
    </row>
    <row r="2869" spans="2:7" ht="12.75">
      <c r="B2869" s="1" t="s">
        <v>177</v>
      </c>
      <c r="C2869" s="1"/>
      <c r="D2869" s="1"/>
      <c r="E2869" s="1"/>
      <c r="F2869" s="1"/>
      <c r="G2869" s="1"/>
    </row>
    <row r="2870" spans="2:7" ht="12.75" customHeight="1">
      <c r="B2870" s="2"/>
      <c r="C2870" s="2" t="s">
        <v>3</v>
      </c>
      <c r="D2870" s="3" t="s">
        <v>41</v>
      </c>
      <c r="E2870" s="3"/>
      <c r="F2870" s="4" t="s">
        <v>109</v>
      </c>
      <c r="G2870" s="4"/>
    </row>
    <row r="2871" spans="2:7" ht="12.75">
      <c r="B2871" s="2"/>
      <c r="C2871" s="2"/>
      <c r="D2871" s="3" t="s">
        <v>6</v>
      </c>
      <c r="E2871" s="3" t="s">
        <v>7</v>
      </c>
      <c r="F2871" s="3" t="s">
        <v>6</v>
      </c>
      <c r="G2871" s="3" t="s">
        <v>8</v>
      </c>
    </row>
    <row r="2872" spans="2:7" ht="12.75">
      <c r="B2872" s="5">
        <v>1</v>
      </c>
      <c r="C2872" s="6" t="s">
        <v>9</v>
      </c>
      <c r="D2872" s="13">
        <v>871.4</v>
      </c>
      <c r="E2872" s="13"/>
      <c r="F2872" s="13">
        <v>871.4</v>
      </c>
      <c r="G2872" s="13"/>
    </row>
    <row r="2873" spans="2:7" ht="12.75">
      <c r="B2873" s="5">
        <v>2</v>
      </c>
      <c r="C2873" s="7" t="s">
        <v>145</v>
      </c>
      <c r="D2873" s="8"/>
      <c r="E2873" s="8"/>
      <c r="F2873" s="8" t="s">
        <v>3</v>
      </c>
      <c r="G2873" s="8"/>
    </row>
    <row r="2874" spans="2:7" ht="12.75">
      <c r="B2874" s="5"/>
      <c r="C2874" s="2" t="s">
        <v>49</v>
      </c>
      <c r="D2874" s="9"/>
      <c r="E2874" s="9"/>
      <c r="F2874" s="9">
        <v>209658.84</v>
      </c>
      <c r="G2874" s="9"/>
    </row>
    <row r="2875" spans="2:7" ht="12.75">
      <c r="B2875" s="5"/>
      <c r="C2875" s="2" t="s">
        <v>50</v>
      </c>
      <c r="D2875" s="9"/>
      <c r="E2875" s="9"/>
      <c r="F2875" s="9">
        <v>189934.84</v>
      </c>
      <c r="G2875" s="9"/>
    </row>
    <row r="2876" spans="2:7" ht="12.75">
      <c r="B2876" s="5"/>
      <c r="C2876" s="2" t="s">
        <v>13</v>
      </c>
      <c r="D2876" s="9"/>
      <c r="E2876" s="9"/>
      <c r="F2876" s="9">
        <f>F2875-F2874</f>
        <v>-19724</v>
      </c>
      <c r="G2876" s="9"/>
    </row>
    <row r="2877" spans="2:7" ht="12.75">
      <c r="B2877" s="5">
        <v>3</v>
      </c>
      <c r="C2877" s="10" t="s">
        <v>14</v>
      </c>
      <c r="D2877" s="1" t="s">
        <v>15</v>
      </c>
      <c r="E2877" s="1"/>
      <c r="F2877" s="1" t="s">
        <v>15</v>
      </c>
      <c r="G2877" s="1"/>
    </row>
    <row r="2878" spans="2:7" ht="12.75">
      <c r="B2878" s="11" t="s">
        <v>16</v>
      </c>
      <c r="C2878" s="11"/>
      <c r="D2878" s="13">
        <v>28.34</v>
      </c>
      <c r="E2878" s="13">
        <f>D2878/871.4/12*1000</f>
        <v>2.7101981485731774</v>
      </c>
      <c r="F2878" s="13">
        <v>28.3</v>
      </c>
      <c r="G2878" s="13">
        <f>F2878/871.4/12*1000</f>
        <v>2.7063728865427286</v>
      </c>
    </row>
    <row r="2879" spans="2:7" ht="12.75" customHeight="1">
      <c r="B2879" s="14" t="s">
        <v>17</v>
      </c>
      <c r="C2879" s="14"/>
      <c r="D2879" s="1">
        <f>D2880+D2881+D2882</f>
        <v>58.68</v>
      </c>
      <c r="E2879" s="13">
        <f>D2879/871.4/12*1000</f>
        <v>5.611659398668809</v>
      </c>
      <c r="F2879" s="12">
        <f>F2880+F2881+F2882</f>
        <v>55.85</v>
      </c>
      <c r="G2879" s="13">
        <f>F2879/871.4/12*1000</f>
        <v>5.341022110014537</v>
      </c>
    </row>
    <row r="2880" spans="2:7" ht="12.75">
      <c r="B2880" s="2"/>
      <c r="C2880" s="15" t="s">
        <v>18</v>
      </c>
      <c r="D2880" s="9">
        <v>45.5</v>
      </c>
      <c r="E2880" s="13">
        <f>D2880/871.4/12*1000</f>
        <v>4.351235559635835</v>
      </c>
      <c r="F2880" s="9">
        <f>16.73+0.8+28</f>
        <v>45.53</v>
      </c>
      <c r="G2880" s="13">
        <f>F2880/871.4/12*1000</f>
        <v>4.354104506158673</v>
      </c>
    </row>
    <row r="2881" spans="2:7" ht="12.75">
      <c r="B2881" s="2"/>
      <c r="C2881" s="15" t="s">
        <v>19</v>
      </c>
      <c r="D2881" s="18">
        <v>13.18</v>
      </c>
      <c r="E2881" s="13">
        <f>D2881/871.4/12*1000</f>
        <v>1.2604238390329736</v>
      </c>
      <c r="F2881" s="45">
        <v>10.32</v>
      </c>
      <c r="G2881" s="13">
        <f>F2881/871.4/12*1000</f>
        <v>0.9869176038558644</v>
      </c>
    </row>
    <row r="2882" spans="2:7" ht="12.75">
      <c r="B2882" s="32" t="s">
        <v>20</v>
      </c>
      <c r="C2882" s="32"/>
      <c r="D2882" s="18">
        <v>0</v>
      </c>
      <c r="E2882" s="13">
        <f>D2882/871.4/12*1000</f>
        <v>0</v>
      </c>
      <c r="F2882" s="18">
        <v>0</v>
      </c>
      <c r="G2882" s="13">
        <f>F2882/871.4/12*1000</f>
        <v>0</v>
      </c>
    </row>
    <row r="2883" spans="2:7" ht="12.75" customHeight="1">
      <c r="B2883" s="19" t="s">
        <v>21</v>
      </c>
      <c r="C2883" s="19"/>
      <c r="D2883" s="13">
        <f>D2884+D2886+D2885</f>
        <v>65.36</v>
      </c>
      <c r="E2883" s="13">
        <f>D2883/871.4/12*1000</f>
        <v>6.250478157753806</v>
      </c>
      <c r="F2883" s="13">
        <f>F2884+F2886+F2885</f>
        <v>72.23000000000002</v>
      </c>
      <c r="G2883" s="13">
        <f>F2883/871.4/12*1000</f>
        <v>6.907466911483438</v>
      </c>
    </row>
    <row r="2884" spans="2:7" ht="12.75">
      <c r="B2884" s="2"/>
      <c r="C2884" s="15" t="s">
        <v>22</v>
      </c>
      <c r="D2884" s="9">
        <v>54.8</v>
      </c>
      <c r="E2884" s="13">
        <f>D2884/871.4/12*1000</f>
        <v>5.240608981715247</v>
      </c>
      <c r="F2884" s="8">
        <f>39.07+11.91+1.71+5.27+0.71+5.38+5.54+0.09+0.6</f>
        <v>70.28000000000002</v>
      </c>
      <c r="G2884" s="13">
        <f>F2884/871.4/12*1000</f>
        <v>6.720985387499045</v>
      </c>
    </row>
    <row r="2885" spans="2:7" ht="12.75">
      <c r="B2885" s="2"/>
      <c r="C2885" s="15" t="s">
        <v>23</v>
      </c>
      <c r="D2885" s="9">
        <v>9.72</v>
      </c>
      <c r="E2885" s="13">
        <f>D2885/871.4/12*1000</f>
        <v>0.929538673399128</v>
      </c>
      <c r="F2885" s="9">
        <v>1.9500000000000002</v>
      </c>
      <c r="G2885" s="13">
        <f>F2885/871.4/12*1000</f>
        <v>0.18648152398439294</v>
      </c>
    </row>
    <row r="2886" spans="2:7" ht="12.75">
      <c r="B2886" s="2"/>
      <c r="C2886" s="20" t="s">
        <v>24</v>
      </c>
      <c r="D2886" s="9">
        <v>0.84</v>
      </c>
      <c r="E2886" s="13">
        <f>D2886/871.4/12*1000</f>
        <v>0.08033050263943081</v>
      </c>
      <c r="F2886" s="9">
        <v>0</v>
      </c>
      <c r="G2886" s="13">
        <f>F2886/871.4/12*1000</f>
        <v>0</v>
      </c>
    </row>
    <row r="2887" spans="2:7" ht="12.75">
      <c r="B2887" s="11" t="s">
        <v>25</v>
      </c>
      <c r="C2887" s="11"/>
      <c r="D2887" s="13">
        <v>6.17</v>
      </c>
      <c r="E2887" s="13">
        <f>D2887/871.4/12*1000</f>
        <v>0.5900466681967714</v>
      </c>
      <c r="F2887" s="13">
        <v>5.7</v>
      </c>
      <c r="G2887" s="13">
        <f>F2887/871.4/12*1000</f>
        <v>0.5450998393389948</v>
      </c>
    </row>
    <row r="2888" spans="2:7" ht="12.75">
      <c r="B2888" s="21" t="s">
        <v>26</v>
      </c>
      <c r="C2888" s="21"/>
      <c r="D2888" s="13">
        <v>32.3</v>
      </c>
      <c r="E2888" s="13">
        <f>D2888/871.4/12*1000</f>
        <v>3.088899089587637</v>
      </c>
      <c r="F2888" s="1">
        <f>5.86+26.87</f>
        <v>32.730000000000004</v>
      </c>
      <c r="G2888" s="13">
        <f>F2888/871.4/12*1000</f>
        <v>3.1300206564149646</v>
      </c>
    </row>
    <row r="2889" spans="2:7" ht="12.75">
      <c r="B2889" s="2"/>
      <c r="C2889" s="10" t="s">
        <v>28</v>
      </c>
      <c r="D2889" s="12">
        <f>D2878+D2879+D2883+D2887+D2888</f>
        <v>190.84999999999997</v>
      </c>
      <c r="E2889" s="12">
        <f>E2878+E2879+E2883+E2887+E2888</f>
        <v>18.251281462780202</v>
      </c>
      <c r="F2889" s="12">
        <f>F2878+F2879+F2883+F2887+F2888</f>
        <v>194.81</v>
      </c>
      <c r="G2889" s="13">
        <f>G2878+G2879+G2883+G2887+G2888</f>
        <v>18.629982403794664</v>
      </c>
    </row>
    <row r="2890" spans="2:7" ht="12.75">
      <c r="B2890" s="2">
        <v>4</v>
      </c>
      <c r="C2890" s="10" t="s">
        <v>29</v>
      </c>
      <c r="D2890" s="13">
        <v>19.07</v>
      </c>
      <c r="E2890" s="12">
        <v>1.8</v>
      </c>
      <c r="F2890" s="12"/>
      <c r="G2890" s="12"/>
    </row>
    <row r="2891" spans="2:7" ht="12.75">
      <c r="B2891" s="5">
        <v>5</v>
      </c>
      <c r="C2891" s="10" t="s">
        <v>13</v>
      </c>
      <c r="D2891" s="13">
        <f>D2889+D2890</f>
        <v>209.91999999999996</v>
      </c>
      <c r="E2891" s="13">
        <f>E2889+E2890</f>
        <v>20.051281462780203</v>
      </c>
      <c r="F2891" s="13">
        <f>F2889-F2875/1000</f>
        <v>4.875159999999994</v>
      </c>
      <c r="G2891" s="13"/>
    </row>
    <row r="2892" spans="2:7" ht="12.75">
      <c r="B2892" s="5"/>
      <c r="C2892" s="10"/>
      <c r="D2892" s="13"/>
      <c r="E2892" s="13"/>
      <c r="F2892" s="13"/>
      <c r="G2892" s="13"/>
    </row>
    <row r="2893" spans="2:7" ht="12.75">
      <c r="B2893" s="5"/>
      <c r="C2893" s="14" t="s">
        <v>150</v>
      </c>
      <c r="D2893" s="13"/>
      <c r="E2893" s="13"/>
      <c r="F2893" s="37">
        <v>213.5</v>
      </c>
      <c r="G2893" s="13"/>
    </row>
    <row r="2894" spans="2:7" ht="12.75">
      <c r="B2894" s="23" t="s">
        <v>39</v>
      </c>
      <c r="C2894" s="23"/>
      <c r="D2894" s="23"/>
      <c r="E2894" s="23"/>
      <c r="F2894" s="23"/>
      <c r="G2894" s="23"/>
    </row>
    <row r="2896" spans="2:7" ht="12.75">
      <c r="B2896" s="1" t="s">
        <v>0</v>
      </c>
      <c r="C2896" s="1"/>
      <c r="D2896" s="1"/>
      <c r="E2896" s="1"/>
      <c r="F2896" s="1"/>
      <c r="G2896" s="1"/>
    </row>
    <row r="2897" spans="2:7" ht="12.75">
      <c r="B2897" s="1" t="s">
        <v>51</v>
      </c>
      <c r="C2897" s="1"/>
      <c r="D2897" s="1"/>
      <c r="E2897" s="1"/>
      <c r="F2897" s="1"/>
      <c r="G2897" s="1"/>
    </row>
    <row r="2898" spans="2:7" ht="12.75">
      <c r="B2898" s="1" t="s">
        <v>178</v>
      </c>
      <c r="C2898" s="1"/>
      <c r="D2898" s="1"/>
      <c r="E2898" s="1"/>
      <c r="F2898" s="1"/>
      <c r="G2898" s="1"/>
    </row>
    <row r="2899" spans="2:7" ht="12.75" customHeight="1">
      <c r="B2899" s="2"/>
      <c r="C2899" s="2" t="s">
        <v>3</v>
      </c>
      <c r="D2899" s="3" t="s">
        <v>41</v>
      </c>
      <c r="E2899" s="3"/>
      <c r="F2899" s="4" t="s">
        <v>109</v>
      </c>
      <c r="G2899" s="4"/>
    </row>
    <row r="2900" spans="2:7" ht="12.75">
      <c r="B2900" s="2"/>
      <c r="C2900" s="2"/>
      <c r="D2900" s="3" t="s">
        <v>6</v>
      </c>
      <c r="E2900" s="3" t="s">
        <v>7</v>
      </c>
      <c r="F2900" s="3" t="s">
        <v>6</v>
      </c>
      <c r="G2900" s="3" t="s">
        <v>8</v>
      </c>
    </row>
    <row r="2901" spans="2:7" ht="12.75">
      <c r="B2901" s="5">
        <v>1</v>
      </c>
      <c r="C2901" s="6" t="s">
        <v>9</v>
      </c>
      <c r="D2901" s="13">
        <v>3517.05</v>
      </c>
      <c r="E2901" s="13"/>
      <c r="F2901" s="13">
        <v>3517.05</v>
      </c>
      <c r="G2901" s="13"/>
    </row>
    <row r="2902" spans="2:7" ht="12.75">
      <c r="B2902" s="5">
        <v>2</v>
      </c>
      <c r="C2902" s="7" t="s">
        <v>55</v>
      </c>
      <c r="D2902" s="8"/>
      <c r="E2902" s="8"/>
      <c r="F2902" s="8" t="s">
        <v>3</v>
      </c>
      <c r="G2902" s="8"/>
    </row>
    <row r="2903" spans="2:7" ht="12.75">
      <c r="B2903" s="5"/>
      <c r="C2903" s="34" t="s">
        <v>154</v>
      </c>
      <c r="D2903" s="9"/>
      <c r="E2903" s="9"/>
      <c r="F2903" s="9">
        <v>875651.25</v>
      </c>
      <c r="G2903" s="9"/>
    </row>
    <row r="2904" spans="2:7" ht="12.75">
      <c r="B2904" s="5"/>
      <c r="C2904" s="34" t="s">
        <v>179</v>
      </c>
      <c r="D2904" s="9"/>
      <c r="E2904" s="9"/>
      <c r="F2904" s="9">
        <v>874394.67</v>
      </c>
      <c r="G2904" s="9"/>
    </row>
    <row r="2905" spans="2:7" ht="12.75">
      <c r="B2905" s="5"/>
      <c r="C2905" s="2" t="s">
        <v>13</v>
      </c>
      <c r="D2905" s="9"/>
      <c r="E2905" s="9"/>
      <c r="F2905" s="9">
        <f>F2904-F2903</f>
        <v>-1256.579999999958</v>
      </c>
      <c r="G2905" s="9"/>
    </row>
    <row r="2906" spans="2:7" ht="12.75">
      <c r="B2906" s="5">
        <v>3</v>
      </c>
      <c r="C2906" s="10" t="s">
        <v>14</v>
      </c>
      <c r="D2906" s="1" t="s">
        <v>15</v>
      </c>
      <c r="E2906" s="1"/>
      <c r="F2906" s="1" t="s">
        <v>15</v>
      </c>
      <c r="G2906" s="1"/>
    </row>
    <row r="2907" spans="2:7" ht="12.75">
      <c r="B2907" s="11" t="s">
        <v>16</v>
      </c>
      <c r="C2907" s="11"/>
      <c r="D2907" s="13">
        <v>114.37</v>
      </c>
      <c r="E2907" s="13">
        <f>D2907/3517.05/12*1000</f>
        <v>2.7098941821507605</v>
      </c>
      <c r="F2907" s="13">
        <v>118.21</v>
      </c>
      <c r="G2907" s="13">
        <f>F2907/3517.05/12*1000</f>
        <v>2.800879524980689</v>
      </c>
    </row>
    <row r="2908" spans="2:7" ht="12.75" customHeight="1">
      <c r="B2908" s="14" t="s">
        <v>17</v>
      </c>
      <c r="C2908" s="14"/>
      <c r="D2908" s="1">
        <f>D2909+D2910+D2911</f>
        <v>236.58</v>
      </c>
      <c r="E2908" s="13">
        <f>D2908/3517.05/12*1000</f>
        <v>5.605550105912626</v>
      </c>
      <c r="F2908" s="12">
        <f>F2909+F2910+F2911</f>
        <v>341.95</v>
      </c>
      <c r="G2908" s="13">
        <f>F2908/3517.05/12*1000</f>
        <v>8.10219739080574</v>
      </c>
    </row>
    <row r="2909" spans="2:7" ht="12.75">
      <c r="B2909" s="2"/>
      <c r="C2909" s="15" t="s">
        <v>18</v>
      </c>
      <c r="D2909" s="9">
        <v>183.4</v>
      </c>
      <c r="E2909" s="13">
        <f>D2909/3517.05/12*1000</f>
        <v>4.345497884116897</v>
      </c>
      <c r="F2909" s="9">
        <f>67.4+7.05+112.8</f>
        <v>187.25</v>
      </c>
      <c r="G2909" s="13">
        <f>F2909/3517.05/12*1000</f>
        <v>4.436720167943778</v>
      </c>
    </row>
    <row r="2910" spans="2:7" ht="12.75">
      <c r="B2910" s="2"/>
      <c r="C2910" s="15" t="s">
        <v>19</v>
      </c>
      <c r="D2910" s="18">
        <v>53.18</v>
      </c>
      <c r="E2910" s="13">
        <f>D2910/3517.05/12*1000</f>
        <v>1.2600522217957284</v>
      </c>
      <c r="F2910" s="45">
        <v>136.5</v>
      </c>
      <c r="G2910" s="13">
        <f>F2910/3517.05/12*1000</f>
        <v>3.2342446084076144</v>
      </c>
    </row>
    <row r="2911" spans="2:7" ht="12.75">
      <c r="B2911" s="32" t="s">
        <v>20</v>
      </c>
      <c r="C2911" s="32"/>
      <c r="D2911" s="18">
        <v>0</v>
      </c>
      <c r="E2911" s="13">
        <f>D2911/3517.05/12*1000</f>
        <v>0</v>
      </c>
      <c r="F2911" s="18">
        <v>18.2</v>
      </c>
      <c r="G2911" s="13">
        <f>F2911/3517.05/12*1000</f>
        <v>0.4312326144543485</v>
      </c>
    </row>
    <row r="2912" spans="2:7" ht="12.75" customHeight="1">
      <c r="B2912" s="19" t="s">
        <v>21</v>
      </c>
      <c r="C2912" s="19"/>
      <c r="D2912" s="13">
        <f>D2913+D2915+D2914</f>
        <v>263.78</v>
      </c>
      <c r="E2912" s="13">
        <f>D2912/3517.05/12*1000</f>
        <v>6.250029617624618</v>
      </c>
      <c r="F2912" s="13">
        <f>F2913+F2915+F2914</f>
        <v>264.81</v>
      </c>
      <c r="G2912" s="13">
        <f>F2912/3517.05/12*1000</f>
        <v>6.2744345403107715</v>
      </c>
    </row>
    <row r="2913" spans="2:7" ht="12.75">
      <c r="B2913" s="2"/>
      <c r="C2913" s="15" t="s">
        <v>22</v>
      </c>
      <c r="D2913" s="9">
        <v>221.15</v>
      </c>
      <c r="E2913" s="13">
        <f>D2913/3517.05/12*1000</f>
        <v>5.23995014761424</v>
      </c>
      <c r="F2913" s="8">
        <f>157.4+48+6.89+21.2+2.86+2.68+9.79+0.36+2.46</f>
        <v>251.64000000000001</v>
      </c>
      <c r="G2913" s="13">
        <f>F2913/3517.05/12*1000</f>
        <v>5.962383247323751</v>
      </c>
    </row>
    <row r="2914" spans="2:7" ht="12.75">
      <c r="B2914" s="2"/>
      <c r="C2914" s="15" t="s">
        <v>23</v>
      </c>
      <c r="D2914" s="9">
        <v>39.25</v>
      </c>
      <c r="E2914" s="13">
        <f>D2914/3517.05/12*1000</f>
        <v>0.9299934130402846</v>
      </c>
      <c r="F2914" s="9">
        <v>9.07</v>
      </c>
      <c r="G2914" s="13">
        <f>F2914/3517.05/12*1000</f>
        <v>0.21490548423631547</v>
      </c>
    </row>
    <row r="2915" spans="2:7" ht="12.75">
      <c r="B2915" s="2"/>
      <c r="C2915" s="20" t="s">
        <v>24</v>
      </c>
      <c r="D2915" s="9">
        <v>3.38</v>
      </c>
      <c r="E2915" s="13">
        <f>D2915/3517.05/12*1000</f>
        <v>0.08008605697009331</v>
      </c>
      <c r="F2915" s="9">
        <v>4.1</v>
      </c>
      <c r="G2915" s="13">
        <f>F2915/3517.05/12*1000</f>
        <v>0.09714580875070489</v>
      </c>
    </row>
    <row r="2916" spans="2:7" ht="12.75">
      <c r="B2916" s="11" t="s">
        <v>25</v>
      </c>
      <c r="C2916" s="11"/>
      <c r="D2916" s="13">
        <v>24.9</v>
      </c>
      <c r="E2916" s="13">
        <f>D2916/3517.05/12*1000</f>
        <v>0.5899830824128174</v>
      </c>
      <c r="F2916" s="13">
        <v>26.16</v>
      </c>
      <c r="G2916" s="13">
        <f>F2916/3517.05/12*1000</f>
        <v>0.6198376480288879</v>
      </c>
    </row>
    <row r="2917" spans="2:7" ht="12.75">
      <c r="B2917" s="21" t="s">
        <v>26</v>
      </c>
      <c r="C2917" s="21"/>
      <c r="D2917" s="13">
        <v>130.41</v>
      </c>
      <c r="E2917" s="13">
        <f>D2917/3517.05/12*1000</f>
        <v>3.0899475412632746</v>
      </c>
      <c r="F2917" s="1">
        <f>23.6+108.27</f>
        <v>131.87</v>
      </c>
      <c r="G2917" s="13">
        <f>F2917/3517.05/12*1000</f>
        <v>3.1245409268184035</v>
      </c>
    </row>
    <row r="2918" spans="2:7" ht="12.75">
      <c r="B2918" s="2"/>
      <c r="C2918" s="10" t="s">
        <v>28</v>
      </c>
      <c r="D2918" s="12">
        <f>D2907+D2908+D2912+D2916+D2917</f>
        <v>770.04</v>
      </c>
      <c r="E2918" s="12">
        <f>E2907+E2908+E2912+E2916+E2917</f>
        <v>18.245404529364095</v>
      </c>
      <c r="F2918" s="12">
        <f>F2907+F2908+F2912+F2916+F2917</f>
        <v>883</v>
      </c>
      <c r="G2918" s="13">
        <f>G2907+G2908+G2912+G2916+G2917</f>
        <v>20.921890030944493</v>
      </c>
    </row>
    <row r="2919" spans="2:7" ht="12.75">
      <c r="B2919" s="2">
        <v>4</v>
      </c>
      <c r="C2919" s="10" t="s">
        <v>29</v>
      </c>
      <c r="D2919" s="13">
        <v>77</v>
      </c>
      <c r="E2919" s="12">
        <v>1.8</v>
      </c>
      <c r="F2919" s="12"/>
      <c r="G2919" s="12"/>
    </row>
    <row r="2920" spans="2:7" ht="12.75">
      <c r="B2920" s="5">
        <v>5</v>
      </c>
      <c r="C2920" s="10" t="s">
        <v>13</v>
      </c>
      <c r="D2920" s="13">
        <f>D2918+D2919</f>
        <v>847.04</v>
      </c>
      <c r="E2920" s="13">
        <f>E2918+E2919</f>
        <v>20.045404529364095</v>
      </c>
      <c r="F2920" s="13">
        <f>F2918-F2904/1000</f>
        <v>8.60532999999998</v>
      </c>
      <c r="G2920" s="13"/>
    </row>
    <row r="2921" spans="2:7" ht="12.75">
      <c r="B2921" s="5"/>
      <c r="C2921" s="10"/>
      <c r="D2921" s="13"/>
      <c r="E2921" s="13"/>
      <c r="F2921" s="13"/>
      <c r="G2921" s="13"/>
    </row>
    <row r="2922" spans="2:7" ht="12.75">
      <c r="B2922" s="11" t="s">
        <v>30</v>
      </c>
      <c r="C2922" s="11"/>
      <c r="D2922" s="33" t="s">
        <v>6</v>
      </c>
      <c r="E2922" s="25"/>
      <c r="F2922" s="25"/>
      <c r="G2922" s="13"/>
    </row>
    <row r="2923" spans="2:7" ht="12.75">
      <c r="B2923" s="25"/>
      <c r="C2923" s="34" t="s">
        <v>31</v>
      </c>
      <c r="D2923" s="35">
        <v>36616.58</v>
      </c>
      <c r="E2923" s="25"/>
      <c r="F2923" s="25"/>
      <c r="G2923" s="13"/>
    </row>
    <row r="2924" spans="2:7" ht="12.75">
      <c r="B2924" s="5"/>
      <c r="C2924" s="23" t="s">
        <v>32</v>
      </c>
      <c r="D2924" s="35">
        <v>31131.25</v>
      </c>
      <c r="E2924" s="25"/>
      <c r="F2924" s="25"/>
      <c r="G2924" s="13"/>
    </row>
    <row r="2925" spans="2:7" ht="12.75">
      <c r="B2925" s="5"/>
      <c r="C2925" s="36" t="s">
        <v>13</v>
      </c>
      <c r="D2925" s="33">
        <f>D2924-D2923</f>
        <v>-5485.330000000002</v>
      </c>
      <c r="E2925" s="25"/>
      <c r="F2925" s="25"/>
      <c r="G2925" s="13"/>
    </row>
    <row r="2926" spans="2:7" ht="12.75">
      <c r="B2926" s="5"/>
      <c r="C2926" s="34" t="s">
        <v>33</v>
      </c>
      <c r="D2926" s="35">
        <v>55682.24</v>
      </c>
      <c r="E2926" s="25"/>
      <c r="F2926" s="25"/>
      <c r="G2926" s="13"/>
    </row>
    <row r="2927" spans="2:7" ht="12.75">
      <c r="B2927" s="5"/>
      <c r="C2927" s="23" t="s">
        <v>34</v>
      </c>
      <c r="D2927" s="35">
        <v>45734.06</v>
      </c>
      <c r="E2927" s="25"/>
      <c r="F2927" s="25"/>
      <c r="G2927" s="13"/>
    </row>
    <row r="2928" spans="2:7" ht="12.75">
      <c r="B2928" s="5"/>
      <c r="C2928" s="36" t="s">
        <v>13</v>
      </c>
      <c r="D2928" s="33">
        <f>D2927-D2926</f>
        <v>-9948.18</v>
      </c>
      <c r="E2928" s="25"/>
      <c r="F2928" s="25"/>
      <c r="G2928" s="13"/>
    </row>
    <row r="2929" spans="2:7" ht="12.75">
      <c r="B2929" s="5"/>
      <c r="C2929" s="34" t="s">
        <v>143</v>
      </c>
      <c r="D2929" s="35">
        <v>130310.83</v>
      </c>
      <c r="E2929" s="25"/>
      <c r="F2929" s="25"/>
      <c r="G2929" s="13"/>
    </row>
    <row r="2930" spans="2:7" ht="12.75">
      <c r="B2930" s="5"/>
      <c r="C2930" s="23" t="s">
        <v>77</v>
      </c>
      <c r="D2930" s="35">
        <v>132186.95</v>
      </c>
      <c r="E2930" s="25"/>
      <c r="F2930" s="25"/>
      <c r="G2930" s="13"/>
    </row>
    <row r="2931" spans="2:7" ht="12.75">
      <c r="B2931" s="5"/>
      <c r="C2931" s="36" t="s">
        <v>13</v>
      </c>
      <c r="D2931" s="33">
        <f>D2930-D2929</f>
        <v>1876.12000000001</v>
      </c>
      <c r="E2931" s="25"/>
      <c r="F2931" s="25"/>
      <c r="G2931" s="13"/>
    </row>
    <row r="2932" spans="2:7" ht="12.75">
      <c r="B2932" s="5"/>
      <c r="C2932" s="34" t="s">
        <v>42</v>
      </c>
      <c r="D2932" s="35">
        <v>9614.47</v>
      </c>
      <c r="E2932" s="25"/>
      <c r="F2932" s="25"/>
      <c r="G2932" s="13"/>
    </row>
    <row r="2933" spans="2:7" ht="12.75">
      <c r="B2933" s="5"/>
      <c r="C2933" s="23" t="s">
        <v>43</v>
      </c>
      <c r="D2933" s="35">
        <v>6280.99</v>
      </c>
      <c r="E2933" s="25"/>
      <c r="F2933" s="25"/>
      <c r="G2933" s="13"/>
    </row>
    <row r="2934" spans="2:7" ht="12.75">
      <c r="B2934" s="5"/>
      <c r="C2934" s="36" t="s">
        <v>13</v>
      </c>
      <c r="D2934" s="33">
        <f>D2933-D2932</f>
        <v>-3333.4799999999996</v>
      </c>
      <c r="E2934" s="25"/>
      <c r="F2934" s="25"/>
      <c r="G2934" s="13"/>
    </row>
    <row r="2935" spans="2:7" ht="12.75">
      <c r="B2935" s="11"/>
      <c r="C2935" s="36" t="s">
        <v>35</v>
      </c>
      <c r="D2935" s="50">
        <f>D2925+D2928+D2931+D2934</f>
        <v>-16890.86999999999</v>
      </c>
      <c r="E2935" s="25"/>
      <c r="F2935" s="25"/>
      <c r="G2935" s="13"/>
    </row>
    <row r="2936" spans="2:7" ht="12.75">
      <c r="B2936" s="11"/>
      <c r="C2936" s="11"/>
      <c r="D2936" s="27"/>
      <c r="E2936" s="25"/>
      <c r="F2936" s="25"/>
      <c r="G2936" s="13"/>
    </row>
    <row r="2937" spans="2:7" ht="12.75">
      <c r="B2937" s="11"/>
      <c r="C2937" s="14" t="s">
        <v>44</v>
      </c>
      <c r="D2937" s="27" t="s">
        <v>37</v>
      </c>
      <c r="E2937" s="25"/>
      <c r="F2937" s="47">
        <v>25.5</v>
      </c>
      <c r="G2937" s="13"/>
    </row>
    <row r="2938" spans="2:7" ht="12.75">
      <c r="B2938" s="5"/>
      <c r="C2938" s="14" t="s">
        <v>150</v>
      </c>
      <c r="D2938" s="13"/>
      <c r="E2938" s="13"/>
      <c r="F2938" s="37">
        <v>266</v>
      </c>
      <c r="G2938" s="13"/>
    </row>
    <row r="2939" spans="2:7" ht="12.75">
      <c r="B2939" s="23" t="s">
        <v>39</v>
      </c>
      <c r="C2939" s="23"/>
      <c r="D2939" s="23"/>
      <c r="E2939" s="23"/>
      <c r="F2939" s="23"/>
      <c r="G2939" s="23"/>
    </row>
    <row r="2940" spans="2:4" ht="12.75">
      <c r="B2940" s="29"/>
      <c r="C2940" s="29"/>
      <c r="D2940" s="38"/>
    </row>
    <row r="2941" spans="2:4" ht="12.75">
      <c r="B2941" s="30"/>
      <c r="C2941" s="31"/>
      <c r="D2941" s="29"/>
    </row>
    <row r="2942" spans="2:7" ht="12.75">
      <c r="B2942" s="1" t="s">
        <v>0</v>
      </c>
      <c r="C2942" s="1"/>
      <c r="D2942" s="1"/>
      <c r="E2942" s="1"/>
      <c r="F2942" s="1"/>
      <c r="G2942" s="1"/>
    </row>
    <row r="2943" spans="2:7" ht="12.75">
      <c r="B2943" s="1" t="s">
        <v>51</v>
      </c>
      <c r="C2943" s="1"/>
      <c r="D2943" s="1"/>
      <c r="E2943" s="1"/>
      <c r="F2943" s="1"/>
      <c r="G2943" s="1"/>
    </row>
    <row r="2944" spans="2:7" ht="12.75">
      <c r="B2944" s="1" t="s">
        <v>180</v>
      </c>
      <c r="C2944" s="1"/>
      <c r="D2944" s="1"/>
      <c r="E2944" s="1"/>
      <c r="F2944" s="1"/>
      <c r="G2944" s="1"/>
    </row>
    <row r="2945" spans="2:7" ht="12.75" customHeight="1">
      <c r="B2945" s="2"/>
      <c r="C2945" s="2" t="s">
        <v>3</v>
      </c>
      <c r="D2945" s="3" t="s">
        <v>41</v>
      </c>
      <c r="E2945" s="3"/>
      <c r="F2945" s="4" t="s">
        <v>109</v>
      </c>
      <c r="G2945" s="4"/>
    </row>
    <row r="2946" spans="2:7" ht="12.75">
      <c r="B2946" s="2"/>
      <c r="C2946" s="2"/>
      <c r="D2946" s="3" t="s">
        <v>6</v>
      </c>
      <c r="E2946" s="3" t="s">
        <v>7</v>
      </c>
      <c r="F2946" s="3" t="s">
        <v>6</v>
      </c>
      <c r="G2946" s="3" t="s">
        <v>8</v>
      </c>
    </row>
    <row r="2947" spans="2:7" ht="12.75">
      <c r="B2947" s="5">
        <v>1</v>
      </c>
      <c r="C2947" s="6" t="s">
        <v>9</v>
      </c>
      <c r="D2947" s="13">
        <v>369.8</v>
      </c>
      <c r="E2947" s="13"/>
      <c r="F2947" s="13">
        <v>369.8</v>
      </c>
      <c r="G2947" s="13"/>
    </row>
    <row r="2948" spans="2:7" ht="12.75">
      <c r="B2948" s="5">
        <v>2</v>
      </c>
      <c r="C2948" s="7" t="s">
        <v>69</v>
      </c>
      <c r="D2948" s="8"/>
      <c r="E2948" s="8"/>
      <c r="F2948" s="8" t="s">
        <v>3</v>
      </c>
      <c r="G2948" s="8"/>
    </row>
    <row r="2949" spans="2:7" ht="12.75">
      <c r="B2949" s="5"/>
      <c r="C2949" s="2" t="s">
        <v>49</v>
      </c>
      <c r="D2949" s="9"/>
      <c r="E2949" s="9"/>
      <c r="F2949" s="9">
        <v>88973.88</v>
      </c>
      <c r="G2949" s="9"/>
    </row>
    <row r="2950" spans="2:7" ht="12.75">
      <c r="B2950" s="5"/>
      <c r="C2950" s="2" t="s">
        <v>50</v>
      </c>
      <c r="D2950" s="9"/>
      <c r="E2950" s="9"/>
      <c r="F2950" s="9">
        <v>88540.81</v>
      </c>
      <c r="G2950" s="9"/>
    </row>
    <row r="2951" spans="2:7" ht="12.75">
      <c r="B2951" s="5"/>
      <c r="C2951" s="2" t="s">
        <v>13</v>
      </c>
      <c r="D2951" s="9"/>
      <c r="E2951" s="9"/>
      <c r="F2951" s="9">
        <f>F2950-F2949</f>
        <v>-433.070000000007</v>
      </c>
      <c r="G2951" s="9"/>
    </row>
    <row r="2952" spans="2:7" ht="12.75">
      <c r="B2952" s="5">
        <v>3</v>
      </c>
      <c r="C2952" s="10" t="s">
        <v>14</v>
      </c>
      <c r="D2952" s="1" t="s">
        <v>15</v>
      </c>
      <c r="E2952" s="1"/>
      <c r="F2952" s="1" t="s">
        <v>15</v>
      </c>
      <c r="G2952" s="1"/>
    </row>
    <row r="2953" spans="2:7" ht="12.75">
      <c r="B2953" s="11" t="s">
        <v>16</v>
      </c>
      <c r="C2953" s="11"/>
      <c r="D2953" s="13">
        <v>12.03</v>
      </c>
      <c r="E2953" s="13">
        <f>D2953/369.8/12*1000</f>
        <v>2.7109248242293127</v>
      </c>
      <c r="F2953" s="13">
        <v>12.01</v>
      </c>
      <c r="G2953" s="13">
        <f>F2953/369.8/12*1000</f>
        <v>2.7064178835406527</v>
      </c>
    </row>
    <row r="2954" spans="2:7" ht="12.75" customHeight="1">
      <c r="B2954" s="14" t="s">
        <v>17</v>
      </c>
      <c r="C2954" s="14"/>
      <c r="D2954" s="1">
        <f>D2955+D2956+D2957</f>
        <v>24.87</v>
      </c>
      <c r="E2954" s="13">
        <f>D2954/369.8/12*1000</f>
        <v>5.604380746349378</v>
      </c>
      <c r="F2954" s="12">
        <f>F2955+F2956+F2957</f>
        <v>21.85</v>
      </c>
      <c r="G2954" s="13">
        <f>F2954/369.8/12*1000</f>
        <v>4.923832702361637</v>
      </c>
    </row>
    <row r="2955" spans="2:7" ht="12.75">
      <c r="B2955" s="2"/>
      <c r="C2955" s="15" t="s">
        <v>18</v>
      </c>
      <c r="D2955" s="9">
        <v>19.32</v>
      </c>
      <c r="E2955" s="13">
        <f>D2955/369.8/12*1000</f>
        <v>4.353704705246079</v>
      </c>
      <c r="F2955" s="9">
        <f>7.1+1.3+11.88</f>
        <v>20.28</v>
      </c>
      <c r="G2955" s="13">
        <f>F2955/369.8/12*1000</f>
        <v>4.570037858301785</v>
      </c>
    </row>
    <row r="2956" spans="2:7" ht="12.75">
      <c r="B2956" s="2"/>
      <c r="C2956" s="15" t="s">
        <v>19</v>
      </c>
      <c r="D2956" s="18">
        <v>5.55</v>
      </c>
      <c r="E2956" s="13">
        <f>D2956/369.8/12*1000</f>
        <v>1.2506760411032989</v>
      </c>
      <c r="F2956" s="18">
        <v>0.17</v>
      </c>
      <c r="G2956" s="13">
        <f>F2956/369.8/12*1000</f>
        <v>0.03830899585361457</v>
      </c>
    </row>
    <row r="2957" spans="2:7" ht="12.75">
      <c r="B2957" s="32" t="s">
        <v>20</v>
      </c>
      <c r="C2957" s="32"/>
      <c r="D2957" s="18">
        <v>0</v>
      </c>
      <c r="E2957" s="13">
        <f>D2957/369.8/12*1000</f>
        <v>0</v>
      </c>
      <c r="F2957" s="18">
        <v>1.4</v>
      </c>
      <c r="G2957" s="13">
        <f>F2957/369.8/12*1000</f>
        <v>0.31548584820623754</v>
      </c>
    </row>
    <row r="2958" spans="2:7" ht="12.75" customHeight="1">
      <c r="B2958" s="19" t="s">
        <v>21</v>
      </c>
      <c r="C2958" s="19"/>
      <c r="D2958" s="13">
        <f>D2959+D2961+D2960</f>
        <v>27.74</v>
      </c>
      <c r="E2958" s="13">
        <f>D2958/369.8/12*1000</f>
        <v>6.251126735172164</v>
      </c>
      <c r="F2958" s="13">
        <f>F2959+F2961+F2960</f>
        <v>30.970000000000002</v>
      </c>
      <c r="G2958" s="13">
        <f>F2958/369.8/12*1000</f>
        <v>6.978997656390842</v>
      </c>
    </row>
    <row r="2959" spans="2:7" ht="12.75">
      <c r="B2959" s="2"/>
      <c r="C2959" s="15" t="s">
        <v>22</v>
      </c>
      <c r="D2959" s="9">
        <v>23.25</v>
      </c>
      <c r="E2959" s="13">
        <f>D2959/369.8/12*1000</f>
        <v>5.239318550567875</v>
      </c>
      <c r="F2959" s="8">
        <f>16.58+5.06+0.73+2.24+0.3+3.12+1.44+0.04+0.26</f>
        <v>29.770000000000003</v>
      </c>
      <c r="G2959" s="13">
        <f>F2959/369.8/12*1000</f>
        <v>6.70858121507121</v>
      </c>
    </row>
    <row r="2960" spans="2:7" ht="12.75">
      <c r="B2960" s="2"/>
      <c r="C2960" s="15" t="s">
        <v>23</v>
      </c>
      <c r="D2960" s="9">
        <v>4.13</v>
      </c>
      <c r="E2960" s="13">
        <f>D2960/369.8/12*1000</f>
        <v>0.9306832522084009</v>
      </c>
      <c r="F2960" s="9">
        <v>1.2</v>
      </c>
      <c r="G2960" s="13">
        <f>F2960/369.8/12*1000</f>
        <v>0.2704164413196322</v>
      </c>
    </row>
    <row r="2961" spans="2:7" ht="12.75">
      <c r="B2961" s="2"/>
      <c r="C2961" s="20" t="s">
        <v>24</v>
      </c>
      <c r="D2961" s="9">
        <v>0.36</v>
      </c>
      <c r="E2961" s="13">
        <f>D2961/369.8/12*1000</f>
        <v>0.08112493239588967</v>
      </c>
      <c r="F2961" s="9">
        <v>0</v>
      </c>
      <c r="G2961" s="13">
        <f>F2961/369.8/12*1000</f>
        <v>0</v>
      </c>
    </row>
    <row r="2962" spans="2:7" ht="12.75">
      <c r="B2962" s="11" t="s">
        <v>25</v>
      </c>
      <c r="C2962" s="11"/>
      <c r="D2962" s="13">
        <v>2.62</v>
      </c>
      <c r="E2962" s="13">
        <f>D2962/369.8/12*1000</f>
        <v>0.5904092302145304</v>
      </c>
      <c r="F2962" s="13">
        <v>2.66</v>
      </c>
      <c r="G2962" s="13">
        <f>F2962/369.8/12*1000</f>
        <v>0.5994231115918515</v>
      </c>
    </row>
    <row r="2963" spans="2:7" ht="12.75">
      <c r="B2963" s="21" t="s">
        <v>26</v>
      </c>
      <c r="C2963" s="21"/>
      <c r="D2963" s="13">
        <v>13.71</v>
      </c>
      <c r="E2963" s="13">
        <f>D2963/369.8/12*1000</f>
        <v>3.0895078420767983</v>
      </c>
      <c r="F2963" s="1">
        <f>2.49+11.4</f>
        <v>13.89</v>
      </c>
      <c r="G2963" s="13">
        <f>F2963/369.8/12*1000</f>
        <v>3.130070308274743</v>
      </c>
    </row>
    <row r="2964" spans="2:7" ht="12.75">
      <c r="B2964" s="2"/>
      <c r="C2964" s="10" t="s">
        <v>28</v>
      </c>
      <c r="D2964" s="12">
        <f>D2953+D2954+D2958+D2962+D2963</f>
        <v>80.97</v>
      </c>
      <c r="E2964" s="12">
        <f>E2953+E2954+E2958+E2962+E2963</f>
        <v>18.246349378042183</v>
      </c>
      <c r="F2964" s="12">
        <f>F2953+F2954+F2958+F2962+F2963</f>
        <v>81.38</v>
      </c>
      <c r="G2964" s="13">
        <f>G2953+G2954+G2958+G2962+G2963</f>
        <v>18.338741662159727</v>
      </c>
    </row>
    <row r="2965" spans="2:7" ht="12.75">
      <c r="B2965" s="2">
        <v>4</v>
      </c>
      <c r="C2965" s="10" t="s">
        <v>29</v>
      </c>
      <c r="D2965" s="13">
        <v>8.1</v>
      </c>
      <c r="E2965" s="12">
        <v>1.8</v>
      </c>
      <c r="F2965" s="12"/>
      <c r="G2965" s="12"/>
    </row>
    <row r="2966" spans="2:7" ht="12.75">
      <c r="B2966" s="5">
        <v>5</v>
      </c>
      <c r="C2966" s="10" t="s">
        <v>13</v>
      </c>
      <c r="D2966" s="13">
        <f>D2964+D2965</f>
        <v>89.07</v>
      </c>
      <c r="E2966" s="13">
        <f>E2964+E2965</f>
        <v>20.046349378042184</v>
      </c>
      <c r="F2966" s="13">
        <f>F2964-F2950/1000</f>
        <v>-7.160809999999998</v>
      </c>
      <c r="G2966" s="13"/>
    </row>
    <row r="2967" spans="2:7" ht="12.75">
      <c r="B2967" s="5"/>
      <c r="C2967" s="10"/>
      <c r="D2967" s="13"/>
      <c r="E2967" s="13"/>
      <c r="F2967" s="13"/>
      <c r="G2967" s="13"/>
    </row>
    <row r="2968" spans="2:7" ht="12.75">
      <c r="B2968" s="5"/>
      <c r="C2968" s="14" t="s">
        <v>150</v>
      </c>
      <c r="D2968" s="13"/>
      <c r="E2968" s="13"/>
      <c r="F2968" s="37">
        <v>52.8</v>
      </c>
      <c r="G2968" s="13"/>
    </row>
    <row r="2969" spans="2:7" ht="12.75">
      <c r="B2969" s="23" t="s">
        <v>39</v>
      </c>
      <c r="C2969" s="23"/>
      <c r="D2969" s="23"/>
      <c r="E2969" s="23"/>
      <c r="F2969" s="23"/>
      <c r="G2969" s="23"/>
    </row>
    <row r="2971" spans="2:7" ht="12.75">
      <c r="B2971" s="1" t="s">
        <v>0</v>
      </c>
      <c r="C2971" s="1"/>
      <c r="D2971" s="1"/>
      <c r="E2971" s="1"/>
      <c r="F2971" s="1"/>
      <c r="G2971" s="1"/>
    </row>
    <row r="2972" spans="2:7" ht="12.75">
      <c r="B2972" s="1" t="s">
        <v>51</v>
      </c>
      <c r="C2972" s="1"/>
      <c r="D2972" s="1"/>
      <c r="E2972" s="1"/>
      <c r="F2972" s="1"/>
      <c r="G2972" s="1"/>
    </row>
    <row r="2973" spans="2:7" ht="12.75">
      <c r="B2973" s="1" t="s">
        <v>181</v>
      </c>
      <c r="C2973" s="1"/>
      <c r="D2973" s="1"/>
      <c r="E2973" s="1"/>
      <c r="F2973" s="1"/>
      <c r="G2973" s="1"/>
    </row>
    <row r="2974" spans="2:7" ht="12.75" customHeight="1">
      <c r="B2974" s="2"/>
      <c r="C2974" s="2" t="s">
        <v>3</v>
      </c>
      <c r="D2974" s="3" t="s">
        <v>41</v>
      </c>
      <c r="E2974" s="3"/>
      <c r="F2974" s="4" t="s">
        <v>109</v>
      </c>
      <c r="G2974" s="4"/>
    </row>
    <row r="2975" spans="2:7" ht="12.75">
      <c r="B2975" s="2"/>
      <c r="C2975" s="2"/>
      <c r="D2975" s="3" t="s">
        <v>6</v>
      </c>
      <c r="E2975" s="3" t="s">
        <v>7</v>
      </c>
      <c r="F2975" s="3" t="s">
        <v>6</v>
      </c>
      <c r="G2975" s="3" t="s">
        <v>8</v>
      </c>
    </row>
    <row r="2976" spans="2:7" ht="12.75">
      <c r="B2976" s="5">
        <v>1</v>
      </c>
      <c r="C2976" s="6" t="s">
        <v>9</v>
      </c>
      <c r="D2976" s="13">
        <v>855.3</v>
      </c>
      <c r="E2976" s="13"/>
      <c r="F2976" s="13">
        <v>855.3</v>
      </c>
      <c r="G2976" s="13"/>
    </row>
    <row r="2977" spans="2:7" ht="12.75">
      <c r="B2977" s="5">
        <v>2</v>
      </c>
      <c r="C2977" s="7" t="s">
        <v>67</v>
      </c>
      <c r="D2977" s="8"/>
      <c r="E2977" s="8"/>
      <c r="F2977" s="8" t="s">
        <v>3</v>
      </c>
      <c r="G2977" s="8"/>
    </row>
    <row r="2978" spans="2:7" ht="12.75">
      <c r="B2978" s="5"/>
      <c r="C2978" s="2" t="s">
        <v>49</v>
      </c>
      <c r="D2978" s="9"/>
      <c r="E2978" s="9"/>
      <c r="F2978" s="9">
        <v>205785.18</v>
      </c>
      <c r="G2978" s="9"/>
    </row>
    <row r="2979" spans="2:7" ht="12.75">
      <c r="B2979" s="5"/>
      <c r="C2979" s="2" t="s">
        <v>50</v>
      </c>
      <c r="D2979" s="9"/>
      <c r="E2979" s="9"/>
      <c r="F2979" s="9">
        <v>184914.92</v>
      </c>
      <c r="G2979" s="9"/>
    </row>
    <row r="2980" spans="2:7" ht="12.75">
      <c r="B2980" s="5"/>
      <c r="C2980" s="2" t="s">
        <v>13</v>
      </c>
      <c r="D2980" s="9"/>
      <c r="E2980" s="9"/>
      <c r="F2980" s="9">
        <f>F2979-F2978</f>
        <v>-20870.25999999998</v>
      </c>
      <c r="G2980" s="9"/>
    </row>
    <row r="2981" spans="2:7" ht="12.75">
      <c r="B2981" s="5">
        <v>3</v>
      </c>
      <c r="C2981" s="10" t="s">
        <v>14</v>
      </c>
      <c r="D2981" s="1" t="s">
        <v>15</v>
      </c>
      <c r="E2981" s="1"/>
      <c r="F2981" s="1" t="s">
        <v>15</v>
      </c>
      <c r="G2981" s="1"/>
    </row>
    <row r="2982" spans="2:7" ht="12.75">
      <c r="B2982" s="11" t="s">
        <v>16</v>
      </c>
      <c r="C2982" s="11"/>
      <c r="D2982" s="13">
        <v>27.8</v>
      </c>
      <c r="E2982" s="13">
        <f>D2982/855.3/12*1000</f>
        <v>2.7086012705093734</v>
      </c>
      <c r="F2982" s="13">
        <v>27.8</v>
      </c>
      <c r="G2982" s="13">
        <f>F2982/855.3/12*1000</f>
        <v>2.7086012705093734</v>
      </c>
    </row>
    <row r="2983" spans="2:7" ht="12.75" customHeight="1">
      <c r="B2983" s="14" t="s">
        <v>17</v>
      </c>
      <c r="C2983" s="14"/>
      <c r="D2983" s="1">
        <f>D2984+D2985+D2986</f>
        <v>57.480000000000004</v>
      </c>
      <c r="E2983" s="13">
        <f>D2983/855.3/12*1000</f>
        <v>5.600374137729452</v>
      </c>
      <c r="F2983" s="12">
        <f>F2984+F2985+F2986</f>
        <v>55.36</v>
      </c>
      <c r="G2983" s="13">
        <f>F2983/855.3/12*1000</f>
        <v>5.393818932928018</v>
      </c>
    </row>
    <row r="2984" spans="2:7" ht="12.75">
      <c r="B2984" s="2"/>
      <c r="C2984" s="15" t="s">
        <v>18</v>
      </c>
      <c r="D2984" s="9">
        <v>44.68</v>
      </c>
      <c r="E2984" s="13">
        <f>D2984/855.3/12*1000</f>
        <v>4.3532483728906035</v>
      </c>
      <c r="F2984" s="9">
        <f>16.4+1.98+27.48</f>
        <v>45.86</v>
      </c>
      <c r="G2984" s="13">
        <f>F2984/855.3/12*1000</f>
        <v>4.468217779336684</v>
      </c>
    </row>
    <row r="2985" spans="2:7" ht="12.75">
      <c r="B2985" s="2"/>
      <c r="C2985" s="15" t="s">
        <v>19</v>
      </c>
      <c r="D2985" s="18">
        <v>12.8</v>
      </c>
      <c r="E2985" s="13">
        <f>D2985/855.3/12*1000</f>
        <v>1.247125764838848</v>
      </c>
      <c r="F2985" s="18">
        <v>9.5</v>
      </c>
      <c r="G2985" s="13">
        <f>F2985/855.3/12*1000</f>
        <v>0.9256011535913325</v>
      </c>
    </row>
    <row r="2986" spans="2:7" ht="12.75">
      <c r="B2986" s="32" t="s">
        <v>20</v>
      </c>
      <c r="C2986" s="32"/>
      <c r="D2986" s="18">
        <v>0</v>
      </c>
      <c r="E2986" s="13">
        <f>D2986/855.3/12*1000</f>
        <v>0</v>
      </c>
      <c r="F2986" s="18">
        <v>0</v>
      </c>
      <c r="G2986" s="13">
        <f>F2986/855.3/12*1000</f>
        <v>0</v>
      </c>
    </row>
    <row r="2987" spans="2:7" ht="12.75" customHeight="1">
      <c r="B2987" s="19" t="s">
        <v>21</v>
      </c>
      <c r="C2987" s="19"/>
      <c r="D2987" s="13">
        <f>D2988+D2990+D2989</f>
        <v>64.12</v>
      </c>
      <c r="E2987" s="13">
        <f>D2987/855.3/12*1000</f>
        <v>6.2473206282396045</v>
      </c>
      <c r="F2987" s="13">
        <f>F2988+F2990+F2989</f>
        <v>69.10000000000001</v>
      </c>
      <c r="G2987" s="13">
        <f>F2987/855.3/12*1000</f>
        <v>6.732530496122219</v>
      </c>
    </row>
    <row r="2988" spans="2:7" ht="12.75">
      <c r="B2988" s="2"/>
      <c r="C2988" s="15" t="s">
        <v>22</v>
      </c>
      <c r="D2988" s="9">
        <v>53.8</v>
      </c>
      <c r="E2988" s="13">
        <f>D2988/855.3/12*1000</f>
        <v>5.241825480338282</v>
      </c>
      <c r="F2988" s="8">
        <f>38.35+11.7+1.68+5.17+0.7+4.9+3.15+0.09+0.6</f>
        <v>66.34</v>
      </c>
      <c r="G2988" s="13">
        <f>F2988/855.3/12*1000</f>
        <v>6.4636190030788425</v>
      </c>
    </row>
    <row r="2989" spans="2:7" ht="12.75">
      <c r="B2989" s="2"/>
      <c r="C2989" s="15" t="s">
        <v>23</v>
      </c>
      <c r="D2989" s="9">
        <v>9.5</v>
      </c>
      <c r="E2989" s="13">
        <f>D2989/855.3/12*1000</f>
        <v>0.9256011535913325</v>
      </c>
      <c r="F2989" s="9">
        <v>2.76</v>
      </c>
      <c r="G2989" s="13">
        <f>F2989/855.3/12*1000</f>
        <v>0.26891149304337664</v>
      </c>
    </row>
    <row r="2990" spans="2:7" ht="12.75">
      <c r="B2990" s="2"/>
      <c r="C2990" s="20" t="s">
        <v>24</v>
      </c>
      <c r="D2990" s="9">
        <v>0.82</v>
      </c>
      <c r="E2990" s="13">
        <f>D2990/855.3/12*1000</f>
        <v>0.0798939943099887</v>
      </c>
      <c r="F2990" s="9">
        <v>0</v>
      </c>
      <c r="G2990" s="13">
        <f>F2990/855.3/12*1000</f>
        <v>0</v>
      </c>
    </row>
    <row r="2991" spans="2:7" ht="12.75">
      <c r="B2991" s="11" t="s">
        <v>25</v>
      </c>
      <c r="C2991" s="11"/>
      <c r="D2991" s="13">
        <v>6.1</v>
      </c>
      <c r="E2991" s="13">
        <f>D2991/855.3/12*1000</f>
        <v>0.5943333723060135</v>
      </c>
      <c r="F2991" s="13">
        <v>5.5</v>
      </c>
      <c r="G2991" s="13">
        <f>F2991/855.3/12*1000</f>
        <v>0.5358743520791925</v>
      </c>
    </row>
    <row r="2992" spans="2:7" ht="12.75">
      <c r="B2992" s="21" t="s">
        <v>26</v>
      </c>
      <c r="C2992" s="21"/>
      <c r="D2992" s="13">
        <v>31.7</v>
      </c>
      <c r="E2992" s="13">
        <f>D2992/855.3/12*1000</f>
        <v>3.0885849019837095</v>
      </c>
      <c r="F2992" s="1">
        <f>5.75+26.38</f>
        <v>32.129999999999995</v>
      </c>
      <c r="G2992" s="13">
        <f>F2992/855.3/12*1000</f>
        <v>3.1304805331462644</v>
      </c>
    </row>
    <row r="2993" spans="2:7" ht="12.75">
      <c r="B2993" s="2"/>
      <c r="C2993" s="10" t="s">
        <v>28</v>
      </c>
      <c r="D2993" s="12">
        <f>D2982+D2983+D2987+D2991+D2992</f>
        <v>187.2</v>
      </c>
      <c r="E2993" s="12">
        <f>E2982+E2983+E2987+E2991+E2992</f>
        <v>18.239214310768155</v>
      </c>
      <c r="F2993" s="12">
        <f>F2982+F2983+F2987+F2991+F2992</f>
        <v>189.89</v>
      </c>
      <c r="G2993" s="13">
        <f>G2982+G2983+G2987+G2991+G2992</f>
        <v>18.50130558478507</v>
      </c>
    </row>
    <row r="2994" spans="2:7" ht="12.75">
      <c r="B2994" s="2">
        <v>4</v>
      </c>
      <c r="C2994" s="10" t="s">
        <v>29</v>
      </c>
      <c r="D2994" s="13">
        <v>18.7</v>
      </c>
      <c r="E2994" s="12">
        <v>1.81</v>
      </c>
      <c r="F2994" s="12"/>
      <c r="G2994" s="12"/>
    </row>
    <row r="2995" spans="2:7" ht="12.75">
      <c r="B2995" s="5">
        <v>5</v>
      </c>
      <c r="C2995" s="10" t="s">
        <v>13</v>
      </c>
      <c r="D2995" s="13">
        <f>D2993+D2994</f>
        <v>205.89999999999998</v>
      </c>
      <c r="E2995" s="13">
        <f>E2993+E2994</f>
        <v>20.049214310768154</v>
      </c>
      <c r="F2995" s="13">
        <f>F2993-F2979/1000</f>
        <v>4.975079999999963</v>
      </c>
      <c r="G2995" s="13"/>
    </row>
    <row r="2996" spans="2:7" ht="12.75">
      <c r="B2996" s="5"/>
      <c r="C2996" s="10"/>
      <c r="D2996" s="13"/>
      <c r="E2996" s="13"/>
      <c r="F2996" s="13"/>
      <c r="G2996" s="13"/>
    </row>
    <row r="2997" spans="2:7" ht="12.75">
      <c r="B2997" s="5"/>
      <c r="C2997" s="14" t="s">
        <v>150</v>
      </c>
      <c r="D2997" s="13"/>
      <c r="E2997" s="13"/>
      <c r="F2997" s="37">
        <v>161.1</v>
      </c>
      <c r="G2997" s="13"/>
    </row>
    <row r="2998" spans="2:7" ht="12.75">
      <c r="B2998" s="23" t="s">
        <v>59</v>
      </c>
      <c r="C2998" s="23"/>
      <c r="D2998" s="23"/>
      <c r="E2998" s="23"/>
      <c r="F2998" s="23"/>
      <c r="G2998" s="23"/>
    </row>
    <row r="2999" spans="2:4" ht="12.75">
      <c r="B2999" s="51"/>
      <c r="C2999" s="51"/>
      <c r="D2999" s="30"/>
    </row>
    <row r="3000" spans="2:7" ht="12.75">
      <c r="B3000" s="1" t="s">
        <v>0</v>
      </c>
      <c r="C3000" s="1"/>
      <c r="D3000" s="1"/>
      <c r="E3000" s="1"/>
      <c r="F3000" s="1"/>
      <c r="G3000" s="1"/>
    </row>
    <row r="3001" spans="2:7" ht="12.75">
      <c r="B3001" s="1" t="s">
        <v>51</v>
      </c>
      <c r="C3001" s="1"/>
      <c r="D3001" s="1"/>
      <c r="E3001" s="1"/>
      <c r="F3001" s="1"/>
      <c r="G3001" s="1"/>
    </row>
    <row r="3002" spans="2:7" ht="12.75">
      <c r="B3002" s="1" t="s">
        <v>182</v>
      </c>
      <c r="C3002" s="1"/>
      <c r="D3002" s="1"/>
      <c r="E3002" s="1"/>
      <c r="F3002" s="1"/>
      <c r="G3002" s="1"/>
    </row>
    <row r="3003" spans="2:7" ht="12.75" customHeight="1">
      <c r="B3003" s="2"/>
      <c r="C3003" s="2" t="s">
        <v>3</v>
      </c>
      <c r="D3003" s="3" t="s">
        <v>41</v>
      </c>
      <c r="E3003" s="3"/>
      <c r="F3003" s="4" t="s">
        <v>109</v>
      </c>
      <c r="G3003" s="4"/>
    </row>
    <row r="3004" spans="2:7" ht="12.75">
      <c r="B3004" s="2"/>
      <c r="C3004" s="2"/>
      <c r="D3004" s="3" t="s">
        <v>6</v>
      </c>
      <c r="E3004" s="3" t="s">
        <v>7</v>
      </c>
      <c r="F3004" s="3" t="s">
        <v>6</v>
      </c>
      <c r="G3004" s="3" t="s">
        <v>8</v>
      </c>
    </row>
    <row r="3005" spans="2:7" ht="12.75">
      <c r="B3005" s="5">
        <v>1</v>
      </c>
      <c r="C3005" s="6" t="s">
        <v>9</v>
      </c>
      <c r="D3005" s="13">
        <v>1518.1</v>
      </c>
      <c r="E3005" s="13"/>
      <c r="F3005" s="13">
        <v>1518.1</v>
      </c>
      <c r="G3005" s="13"/>
    </row>
    <row r="3006" spans="2:7" ht="12.75">
      <c r="B3006" s="5">
        <v>2</v>
      </c>
      <c r="C3006" s="7" t="s">
        <v>183</v>
      </c>
      <c r="D3006" s="8"/>
      <c r="E3006" s="8"/>
      <c r="F3006" s="8" t="s">
        <v>3</v>
      </c>
      <c r="G3006" s="8"/>
    </row>
    <row r="3007" spans="2:7" ht="12.75">
      <c r="B3007" s="5"/>
      <c r="C3007" s="34" t="s">
        <v>164</v>
      </c>
      <c r="D3007" s="9"/>
      <c r="E3007" s="9"/>
      <c r="F3007" s="9">
        <v>441767.1</v>
      </c>
      <c r="G3007" s="9"/>
    </row>
    <row r="3008" spans="2:7" ht="12.75">
      <c r="B3008" s="5"/>
      <c r="C3008" s="34" t="s">
        <v>184</v>
      </c>
      <c r="D3008" s="9"/>
      <c r="E3008" s="9"/>
      <c r="F3008" s="9">
        <v>395972.19</v>
      </c>
      <c r="G3008" s="9"/>
    </row>
    <row r="3009" spans="2:7" ht="12.75">
      <c r="B3009" s="5"/>
      <c r="C3009" s="2" t="s">
        <v>13</v>
      </c>
      <c r="D3009" s="9"/>
      <c r="E3009" s="9"/>
      <c r="F3009" s="9">
        <f>F3008-F3007</f>
        <v>-45794.909999999974</v>
      </c>
      <c r="G3009" s="9"/>
    </row>
    <row r="3010" spans="2:7" ht="12.75">
      <c r="B3010" s="5">
        <v>3</v>
      </c>
      <c r="C3010" s="10" t="s">
        <v>14</v>
      </c>
      <c r="D3010" s="1" t="s">
        <v>15</v>
      </c>
      <c r="E3010" s="1"/>
      <c r="F3010" s="1" t="s">
        <v>15</v>
      </c>
      <c r="G3010" s="1"/>
    </row>
    <row r="3011" spans="2:7" ht="12.75">
      <c r="B3011" s="11" t="s">
        <v>16</v>
      </c>
      <c r="C3011" s="11"/>
      <c r="D3011" s="13">
        <v>49.36</v>
      </c>
      <c r="E3011" s="13">
        <f>D3011/1518.1/12*1000</f>
        <v>2.7095272599521327</v>
      </c>
      <c r="F3011" s="13">
        <v>59.6</v>
      </c>
      <c r="G3011" s="13">
        <f>F3011/1518.1/12*1000</f>
        <v>3.2716334014008743</v>
      </c>
    </row>
    <row r="3012" spans="2:7" ht="12.75" customHeight="1">
      <c r="B3012" s="14" t="s">
        <v>17</v>
      </c>
      <c r="C3012" s="14"/>
      <c r="D3012" s="1">
        <f>D3013+D3014+D3015</f>
        <v>102.19999999999999</v>
      </c>
      <c r="E3012" s="13">
        <f>D3012/1518.1/12*1000</f>
        <v>5.610082778912236</v>
      </c>
      <c r="F3012" s="12">
        <f>F3013+F3014+F3015</f>
        <v>125.54</v>
      </c>
      <c r="G3012" s="13">
        <f>F3012/1518.1/12*1000</f>
        <v>6.89128955053466</v>
      </c>
    </row>
    <row r="3013" spans="2:7" ht="12.75">
      <c r="B3013" s="2"/>
      <c r="C3013" s="15" t="s">
        <v>18</v>
      </c>
      <c r="D3013" s="9">
        <v>79.3</v>
      </c>
      <c r="E3013" s="13">
        <f>D3013/1518.1/12*1000</f>
        <v>4.3530290055551895</v>
      </c>
      <c r="F3013" s="9">
        <f>29.15+4.07+48.77</f>
        <v>81.99000000000001</v>
      </c>
      <c r="G3013" s="13">
        <f>F3013/1518.1/12*1000</f>
        <v>4.500691654041236</v>
      </c>
    </row>
    <row r="3014" spans="2:7" ht="12.75">
      <c r="B3014" s="2"/>
      <c r="C3014" s="15" t="s">
        <v>19</v>
      </c>
      <c r="D3014" s="18">
        <v>22.9</v>
      </c>
      <c r="E3014" s="13">
        <f>D3014/1518.1/12*1000</f>
        <v>1.2570537733570473</v>
      </c>
      <c r="F3014" s="18">
        <v>43.55</v>
      </c>
      <c r="G3014" s="13">
        <f>F3014/1518.1/12*1000</f>
        <v>2.3905978964934236</v>
      </c>
    </row>
    <row r="3015" spans="2:7" ht="12.75">
      <c r="B3015" s="32" t="s">
        <v>20</v>
      </c>
      <c r="C3015" s="32"/>
      <c r="D3015" s="18">
        <v>0</v>
      </c>
      <c r="E3015" s="13">
        <f>D3015/1518.1/12*1000</f>
        <v>0</v>
      </c>
      <c r="F3015" s="18">
        <v>0</v>
      </c>
      <c r="G3015" s="13">
        <f>F3015/1518.1/12*1000</f>
        <v>0</v>
      </c>
    </row>
    <row r="3016" spans="2:7" ht="12.75" customHeight="1">
      <c r="B3016" s="19" t="s">
        <v>21</v>
      </c>
      <c r="C3016" s="19"/>
      <c r="D3016" s="13">
        <f>D3017+D3019+D3018</f>
        <v>113.85999999999999</v>
      </c>
      <c r="E3016" s="13">
        <f>D3016/1518.1/12*1000</f>
        <v>6.25013723294469</v>
      </c>
      <c r="F3016" s="13">
        <f>F3017+F3019+F3018</f>
        <v>116.00000000000001</v>
      </c>
      <c r="G3016" s="13">
        <f>F3016/1518.1/12*1000</f>
        <v>6.367608633599017</v>
      </c>
    </row>
    <row r="3017" spans="2:7" ht="12.75">
      <c r="B3017" s="2"/>
      <c r="C3017" s="15" t="s">
        <v>22</v>
      </c>
      <c r="D3017" s="9">
        <v>95.46</v>
      </c>
      <c r="E3017" s="13">
        <f>D3017/1518.1/12*1000</f>
        <v>5.240102760028984</v>
      </c>
      <c r="F3017" s="8">
        <f>68.07+20.76+2.98+9.18+1.24+3.45+4.56+0.15+1.06</f>
        <v>111.45000000000002</v>
      </c>
      <c r="G3017" s="13">
        <f>F3017/1518.1/12*1000</f>
        <v>6.117844674263885</v>
      </c>
    </row>
    <row r="3018" spans="2:7" ht="12.75">
      <c r="B3018" s="2"/>
      <c r="C3018" s="15" t="s">
        <v>23</v>
      </c>
      <c r="D3018" s="9">
        <v>16.94</v>
      </c>
      <c r="E3018" s="13">
        <f>D3018/1518.1/12*1000</f>
        <v>0.9298904332169599</v>
      </c>
      <c r="F3018" s="9">
        <v>4.2</v>
      </c>
      <c r="G3018" s="13">
        <f>F3018/1518.1/12*1000</f>
        <v>0.2305513470785851</v>
      </c>
    </row>
    <row r="3019" spans="2:7" ht="12.75">
      <c r="B3019" s="2"/>
      <c r="C3019" s="20" t="s">
        <v>24</v>
      </c>
      <c r="D3019" s="9">
        <v>1.46</v>
      </c>
      <c r="E3019" s="13">
        <f>D3019/1518.1/12*1000</f>
        <v>0.08014403969874624</v>
      </c>
      <c r="F3019" s="9">
        <v>0.35</v>
      </c>
      <c r="G3019" s="13">
        <f>F3019/1518.1/12*1000</f>
        <v>0.01921261225654876</v>
      </c>
    </row>
    <row r="3020" spans="2:7" ht="12.75">
      <c r="B3020" s="11" t="s">
        <v>25</v>
      </c>
      <c r="C3020" s="11"/>
      <c r="D3020" s="13">
        <v>10.75</v>
      </c>
      <c r="E3020" s="13">
        <f>D3020/1518.1/12*1000</f>
        <v>0.5901016621654261</v>
      </c>
      <c r="F3020" s="13">
        <v>11.87</v>
      </c>
      <c r="G3020" s="13">
        <f>F3020/1518.1/12*1000</f>
        <v>0.6515820213863821</v>
      </c>
    </row>
    <row r="3021" spans="2:7" ht="12.75">
      <c r="B3021" s="21" t="s">
        <v>26</v>
      </c>
      <c r="C3021" s="21"/>
      <c r="D3021" s="13">
        <v>56.3</v>
      </c>
      <c r="E3021" s="13">
        <f>D3021/1518.1/12*1000</f>
        <v>3.0904859144105568</v>
      </c>
      <c r="F3021" s="1">
        <f>10.2+46.82</f>
        <v>57.019999999999996</v>
      </c>
      <c r="G3021" s="13">
        <f>F3021/1518.1/12*1000</f>
        <v>3.1300090024811715</v>
      </c>
    </row>
    <row r="3022" spans="2:7" ht="12.75">
      <c r="B3022" s="2"/>
      <c r="C3022" s="10" t="s">
        <v>28</v>
      </c>
      <c r="D3022" s="12">
        <f>D3011+D3012+D3016+D3020+D3021</f>
        <v>332.46999999999997</v>
      </c>
      <c r="E3022" s="12">
        <f>E3011+E3012+E3016+E3020+E3021</f>
        <v>18.25033484838504</v>
      </c>
      <c r="F3022" s="13">
        <f>F3011+F3012+F3016+F3020+F3021</f>
        <v>370.03000000000003</v>
      </c>
      <c r="G3022" s="13">
        <f>G3011+G3012+G3016+G3020+G3021</f>
        <v>20.312122609402106</v>
      </c>
    </row>
    <row r="3023" spans="2:7" ht="12.75">
      <c r="B3023" s="2">
        <v>4</v>
      </c>
      <c r="C3023" s="10" t="s">
        <v>29</v>
      </c>
      <c r="D3023" s="13">
        <v>33.25</v>
      </c>
      <c r="E3023" s="12">
        <v>1.8</v>
      </c>
      <c r="F3023" s="12"/>
      <c r="G3023" s="12"/>
    </row>
    <row r="3024" spans="2:7" ht="12.75">
      <c r="B3024" s="5">
        <v>5</v>
      </c>
      <c r="C3024" s="10" t="s">
        <v>13</v>
      </c>
      <c r="D3024" s="13">
        <f>D3022+D3023</f>
        <v>365.71999999999997</v>
      </c>
      <c r="E3024" s="13">
        <f>E3022+E3023</f>
        <v>20.05033484838504</v>
      </c>
      <c r="F3024" s="13">
        <f>F3022-F3008/1000</f>
        <v>-25.942189999999982</v>
      </c>
      <c r="G3024" s="13"/>
    </row>
    <row r="3025" spans="2:7" ht="12.75">
      <c r="B3025" s="5"/>
      <c r="C3025" s="10"/>
      <c r="D3025" s="13"/>
      <c r="E3025" s="13"/>
      <c r="F3025" s="13"/>
      <c r="G3025" s="13"/>
    </row>
    <row r="3026" spans="2:7" ht="12.75">
      <c r="B3026" s="11" t="s">
        <v>30</v>
      </c>
      <c r="C3026" s="11"/>
      <c r="D3026" s="37" t="s">
        <v>6</v>
      </c>
      <c r="E3026" s="13"/>
      <c r="F3026" s="13"/>
      <c r="G3026" s="13"/>
    </row>
    <row r="3027" spans="2:7" ht="12.75">
      <c r="B3027" s="25"/>
      <c r="C3027" s="34" t="s">
        <v>31</v>
      </c>
      <c r="D3027" s="9">
        <v>15636.5</v>
      </c>
      <c r="E3027" s="13"/>
      <c r="F3027" s="13"/>
      <c r="G3027" s="13"/>
    </row>
    <row r="3028" spans="2:7" ht="12.75">
      <c r="B3028" s="5"/>
      <c r="C3028" s="23" t="s">
        <v>32</v>
      </c>
      <c r="D3028" s="9">
        <v>13185.72</v>
      </c>
      <c r="E3028" s="13"/>
      <c r="F3028" s="13"/>
      <c r="G3028" s="13"/>
    </row>
    <row r="3029" spans="2:7" ht="12.75">
      <c r="B3029" s="5"/>
      <c r="C3029" s="36" t="s">
        <v>13</v>
      </c>
      <c r="D3029" s="13">
        <f>D3028-D3027</f>
        <v>-2450.7800000000007</v>
      </c>
      <c r="E3029" s="13"/>
      <c r="F3029" s="13"/>
      <c r="G3029" s="13"/>
    </row>
    <row r="3030" spans="2:7" ht="12.75">
      <c r="B3030" s="5"/>
      <c r="C3030" s="34" t="s">
        <v>33</v>
      </c>
      <c r="D3030" s="9">
        <v>17336.73</v>
      </c>
      <c r="E3030" s="13"/>
      <c r="F3030" s="13"/>
      <c r="G3030" s="13"/>
    </row>
    <row r="3031" spans="2:7" ht="12.75">
      <c r="B3031" s="5"/>
      <c r="C3031" s="23" t="s">
        <v>34</v>
      </c>
      <c r="D3031" s="9">
        <v>14175.54</v>
      </c>
      <c r="E3031" s="13"/>
      <c r="F3031" s="13"/>
      <c r="G3031" s="13"/>
    </row>
    <row r="3032" spans="2:7" ht="12.75">
      <c r="B3032" s="5"/>
      <c r="C3032" s="36" t="s">
        <v>13</v>
      </c>
      <c r="D3032" s="13">
        <f>D3031-D3030</f>
        <v>-3161.1899999999987</v>
      </c>
      <c r="E3032" s="13"/>
      <c r="F3032" s="13"/>
      <c r="G3032" s="13"/>
    </row>
    <row r="3033" spans="2:7" ht="12.75">
      <c r="B3033" s="5"/>
      <c r="C3033" s="34" t="s">
        <v>42</v>
      </c>
      <c r="D3033" s="9">
        <v>6315.49</v>
      </c>
      <c r="E3033" s="13"/>
      <c r="F3033" s="13"/>
      <c r="G3033" s="13"/>
    </row>
    <row r="3034" spans="2:7" ht="12.75">
      <c r="B3034" s="5"/>
      <c r="C3034" s="23" t="s">
        <v>43</v>
      </c>
      <c r="D3034" s="9">
        <v>4167.7</v>
      </c>
      <c r="E3034" s="13"/>
      <c r="F3034" s="13"/>
      <c r="G3034" s="13"/>
    </row>
    <row r="3035" spans="2:7" ht="12.75">
      <c r="B3035" s="5"/>
      <c r="C3035" s="36" t="s">
        <v>13</v>
      </c>
      <c r="D3035" s="13">
        <f>D3034-D3033</f>
        <v>-2147.79</v>
      </c>
      <c r="E3035" s="13"/>
      <c r="F3035" s="13"/>
      <c r="G3035" s="13"/>
    </row>
    <row r="3036" spans="2:7" ht="12.75">
      <c r="B3036" s="5"/>
      <c r="C3036" s="57" t="s">
        <v>35</v>
      </c>
      <c r="D3036" s="13">
        <f>D3029+D3032+D3035</f>
        <v>-7759.759999999999</v>
      </c>
      <c r="E3036" s="13"/>
      <c r="F3036" s="13"/>
      <c r="G3036" s="13"/>
    </row>
    <row r="3037" spans="2:7" ht="12.75">
      <c r="B3037" s="5"/>
      <c r="C3037" s="14"/>
      <c r="D3037" s="13"/>
      <c r="E3037" s="13"/>
      <c r="F3037" s="13"/>
      <c r="G3037" s="13"/>
    </row>
    <row r="3038" spans="2:7" ht="12.75">
      <c r="B3038" s="5"/>
      <c r="C3038" s="14" t="s">
        <v>58</v>
      </c>
      <c r="D3038" s="13"/>
      <c r="E3038" s="13"/>
      <c r="F3038" s="13">
        <v>-18.18</v>
      </c>
      <c r="G3038" s="13"/>
    </row>
    <row r="3039" spans="2:7" ht="12.75">
      <c r="B3039" s="5"/>
      <c r="C3039" s="14"/>
      <c r="D3039" s="13"/>
      <c r="E3039" s="13"/>
      <c r="F3039" s="13"/>
      <c r="G3039" s="13"/>
    </row>
    <row r="3040" spans="2:7" ht="12.75">
      <c r="B3040" s="5"/>
      <c r="C3040" s="14" t="s">
        <v>127</v>
      </c>
      <c r="D3040" s="13"/>
      <c r="E3040" s="13"/>
      <c r="F3040" s="37">
        <v>801.7</v>
      </c>
      <c r="G3040" s="13"/>
    </row>
    <row r="3041" spans="2:7" ht="12.75">
      <c r="B3041" s="23" t="s">
        <v>39</v>
      </c>
      <c r="C3041" s="23"/>
      <c r="D3041" s="23"/>
      <c r="E3041" s="23"/>
      <c r="F3041" s="23"/>
      <c r="G3041" s="23"/>
    </row>
    <row r="3043" spans="2:7" ht="12.75">
      <c r="B3043" s="1" t="s">
        <v>0</v>
      </c>
      <c r="C3043" s="1"/>
      <c r="D3043" s="1"/>
      <c r="E3043" s="1"/>
      <c r="F3043" s="1"/>
      <c r="G3043" s="1"/>
    </row>
    <row r="3044" spans="2:7" ht="12.75">
      <c r="B3044" s="1" t="s">
        <v>46</v>
      </c>
      <c r="C3044" s="1"/>
      <c r="D3044" s="1"/>
      <c r="E3044" s="1"/>
      <c r="F3044" s="1"/>
      <c r="G3044" s="1"/>
    </row>
    <row r="3045" spans="2:7" ht="12.75">
      <c r="B3045" s="1" t="s">
        <v>185</v>
      </c>
      <c r="C3045" s="1"/>
      <c r="D3045" s="1"/>
      <c r="E3045" s="1"/>
      <c r="F3045" s="1"/>
      <c r="G3045" s="1"/>
    </row>
    <row r="3046" spans="2:7" ht="12.75" customHeight="1">
      <c r="B3046" s="2"/>
      <c r="C3046" s="2" t="s">
        <v>3</v>
      </c>
      <c r="D3046" s="3" t="s">
        <v>41</v>
      </c>
      <c r="E3046" s="3"/>
      <c r="F3046" s="4" t="s">
        <v>109</v>
      </c>
      <c r="G3046" s="4"/>
    </row>
    <row r="3047" spans="2:7" ht="12.75">
      <c r="B3047" s="2"/>
      <c r="C3047" s="2"/>
      <c r="D3047" s="3" t="s">
        <v>6</v>
      </c>
      <c r="E3047" s="3" t="s">
        <v>7</v>
      </c>
      <c r="F3047" s="3" t="s">
        <v>6</v>
      </c>
      <c r="G3047" s="3" t="s">
        <v>8</v>
      </c>
    </row>
    <row r="3048" spans="2:7" ht="12.75">
      <c r="B3048" s="5">
        <v>1</v>
      </c>
      <c r="C3048" s="6" t="s">
        <v>9</v>
      </c>
      <c r="D3048" s="13">
        <v>1507</v>
      </c>
      <c r="E3048" s="13"/>
      <c r="F3048" s="13">
        <v>1507</v>
      </c>
      <c r="G3048" s="13"/>
    </row>
    <row r="3049" spans="2:7" ht="12.75">
      <c r="B3049" s="5">
        <v>2</v>
      </c>
      <c r="C3049" s="7" t="s">
        <v>186</v>
      </c>
      <c r="D3049" s="8"/>
      <c r="E3049" s="8"/>
      <c r="F3049" s="8" t="s">
        <v>3</v>
      </c>
      <c r="G3049" s="8"/>
    </row>
    <row r="3050" spans="2:7" ht="12.75">
      <c r="B3050" s="5"/>
      <c r="C3050" s="34" t="s">
        <v>164</v>
      </c>
      <c r="D3050" s="9"/>
      <c r="E3050" s="9"/>
      <c r="F3050" s="9">
        <v>400965.77</v>
      </c>
      <c r="G3050" s="9"/>
    </row>
    <row r="3051" spans="2:7" ht="12.75">
      <c r="B3051" s="5"/>
      <c r="C3051" s="34" t="s">
        <v>184</v>
      </c>
      <c r="D3051" s="9"/>
      <c r="E3051" s="9"/>
      <c r="F3051" s="9">
        <v>359933.03</v>
      </c>
      <c r="G3051" s="9"/>
    </row>
    <row r="3052" spans="2:7" ht="12.75">
      <c r="B3052" s="5"/>
      <c r="C3052" s="2" t="s">
        <v>13</v>
      </c>
      <c r="D3052" s="9"/>
      <c r="E3052" s="9"/>
      <c r="F3052" s="9">
        <f>F3051-F3050</f>
        <v>-41032.73999999999</v>
      </c>
      <c r="G3052" s="9"/>
    </row>
    <row r="3053" spans="2:7" ht="12.75">
      <c r="B3053" s="5">
        <v>3</v>
      </c>
      <c r="C3053" s="10" t="s">
        <v>14</v>
      </c>
      <c r="D3053" s="1" t="s">
        <v>15</v>
      </c>
      <c r="E3053" s="1"/>
      <c r="F3053" s="1" t="s">
        <v>15</v>
      </c>
      <c r="G3053" s="1"/>
    </row>
    <row r="3054" spans="2:7" ht="12.75">
      <c r="B3054" s="11" t="s">
        <v>16</v>
      </c>
      <c r="C3054" s="11"/>
      <c r="D3054" s="13">
        <v>49</v>
      </c>
      <c r="E3054" s="13">
        <f>D3054/1507/12*1000</f>
        <v>2.709577527095775</v>
      </c>
      <c r="F3054" s="13">
        <v>54.1</v>
      </c>
      <c r="G3054" s="13">
        <f>F3054/1507/12*1000</f>
        <v>2.991594779915948</v>
      </c>
    </row>
    <row r="3055" spans="2:7" ht="12.75" customHeight="1">
      <c r="B3055" s="14" t="s">
        <v>17</v>
      </c>
      <c r="C3055" s="14"/>
      <c r="D3055" s="1">
        <f>D3056+D3057+D3058</f>
        <v>101.5</v>
      </c>
      <c r="E3055" s="13">
        <f>D3055/1507/12*1000</f>
        <v>5.6126963061269635</v>
      </c>
      <c r="F3055" s="12">
        <f>F3056+F3057+F3058</f>
        <v>187.59</v>
      </c>
      <c r="G3055" s="13">
        <f>F3055/1507/12*1000</f>
        <v>10.373258128732582</v>
      </c>
    </row>
    <row r="3056" spans="2:7" ht="12.75">
      <c r="B3056" s="2"/>
      <c r="C3056" s="15" t="s">
        <v>18</v>
      </c>
      <c r="D3056" s="9">
        <v>78.8</v>
      </c>
      <c r="E3056" s="13">
        <f>D3056/1507/12*1000</f>
        <v>4.35744304357443</v>
      </c>
      <c r="F3056" s="9">
        <f>28.93+4.06+48.4</f>
        <v>81.39</v>
      </c>
      <c r="G3056" s="13">
        <f>F3056/1507/12*1000</f>
        <v>4.500663570006636</v>
      </c>
    </row>
    <row r="3057" spans="2:7" ht="12.75">
      <c r="B3057" s="2"/>
      <c r="C3057" s="15" t="s">
        <v>19</v>
      </c>
      <c r="D3057" s="18">
        <v>22.7</v>
      </c>
      <c r="E3057" s="13">
        <f>D3057/1507/12*1000</f>
        <v>1.2552532625525326</v>
      </c>
      <c r="F3057" s="18">
        <v>106.2</v>
      </c>
      <c r="G3057" s="13">
        <f>F3057/1507/12*1000</f>
        <v>5.872594558725946</v>
      </c>
    </row>
    <row r="3058" spans="2:7" ht="12.75">
      <c r="B3058" s="32" t="s">
        <v>20</v>
      </c>
      <c r="C3058" s="32"/>
      <c r="D3058" s="18">
        <v>0</v>
      </c>
      <c r="E3058" s="13">
        <f>D3058/1507/12*1000</f>
        <v>0</v>
      </c>
      <c r="F3058" s="18">
        <v>0</v>
      </c>
      <c r="G3058" s="13">
        <f>F3058/1507/12*1000</f>
        <v>0</v>
      </c>
    </row>
    <row r="3059" spans="2:7" ht="12.75" customHeight="1">
      <c r="B3059" s="19" t="s">
        <v>21</v>
      </c>
      <c r="C3059" s="19"/>
      <c r="D3059" s="13">
        <f>D3060+D3062+D3061</f>
        <v>113.03</v>
      </c>
      <c r="E3059" s="13">
        <f>D3059/1507/12*1000</f>
        <v>6.250276487502766</v>
      </c>
      <c r="F3059" s="13">
        <f>F3060+F3062+F3061</f>
        <v>115.15</v>
      </c>
      <c r="G3059" s="13">
        <f>F3059/1507/12*1000</f>
        <v>6.367507188675073</v>
      </c>
    </row>
    <row r="3060" spans="2:7" ht="12.75">
      <c r="B3060" s="2"/>
      <c r="C3060" s="15" t="s">
        <v>22</v>
      </c>
      <c r="D3060" s="9">
        <v>94.76</v>
      </c>
      <c r="E3060" s="13">
        <f>D3060/1507/12*1000</f>
        <v>5.239991152399911</v>
      </c>
      <c r="F3060" s="8">
        <f>67.56+20.6+3+9.11+1.23+3.45+4.56+0.15+1.06</f>
        <v>110.72000000000001</v>
      </c>
      <c r="G3060" s="13">
        <f>F3060/1507/12*1000</f>
        <v>6.122539261225393</v>
      </c>
    </row>
    <row r="3061" spans="2:7" ht="12.75">
      <c r="B3061" s="2"/>
      <c r="C3061" s="15" t="s">
        <v>23</v>
      </c>
      <c r="D3061" s="9">
        <v>16.82</v>
      </c>
      <c r="E3061" s="13">
        <f>D3061/1507/12*1000</f>
        <v>0.9301039593010396</v>
      </c>
      <c r="F3061" s="9">
        <v>4.3</v>
      </c>
      <c r="G3061" s="13">
        <f>F3061/1507/12*1000</f>
        <v>0.23777925237779252</v>
      </c>
    </row>
    <row r="3062" spans="2:7" ht="12.75">
      <c r="B3062" s="2"/>
      <c r="C3062" s="20" t="s">
        <v>24</v>
      </c>
      <c r="D3062" s="9">
        <v>1.45</v>
      </c>
      <c r="E3062" s="13">
        <f>D3062/1507/12*1000</f>
        <v>0.08018137580181375</v>
      </c>
      <c r="F3062" s="9">
        <v>0.13</v>
      </c>
      <c r="G3062" s="13">
        <f>F3062/1507/12*1000</f>
        <v>0.00718867507188675</v>
      </c>
    </row>
    <row r="3063" spans="2:7" ht="12.75">
      <c r="B3063" s="11" t="s">
        <v>25</v>
      </c>
      <c r="C3063" s="11"/>
      <c r="D3063" s="13">
        <v>10.67</v>
      </c>
      <c r="E3063" s="13">
        <f>D3063/1507/12*1000</f>
        <v>0.5900243309002433</v>
      </c>
      <c r="F3063" s="13">
        <v>10.78</v>
      </c>
      <c r="G3063" s="13">
        <f>F3063/1507/12*1000</f>
        <v>0.5961070559610705</v>
      </c>
    </row>
    <row r="3064" spans="2:7" ht="12.75">
      <c r="B3064" s="21" t="s">
        <v>26</v>
      </c>
      <c r="C3064" s="21"/>
      <c r="D3064" s="13">
        <v>55.88</v>
      </c>
      <c r="E3064" s="13">
        <f>D3064/1507/12*1000</f>
        <v>3.0900243309002433</v>
      </c>
      <c r="F3064" s="1">
        <f>10.12+46.47</f>
        <v>56.589999999999996</v>
      </c>
      <c r="G3064" s="13">
        <f>F3064/1507/12*1000</f>
        <v>3.1292855562928548</v>
      </c>
    </row>
    <row r="3065" spans="2:7" ht="12.75">
      <c r="B3065" s="2"/>
      <c r="C3065" s="10" t="s">
        <v>28</v>
      </c>
      <c r="D3065" s="12">
        <f>D3054+D3055+D3059+D3063+D3064</f>
        <v>330.08</v>
      </c>
      <c r="E3065" s="12">
        <f>E3054+E3055+E3059+E3063+E3064</f>
        <v>18.252598982525992</v>
      </c>
      <c r="F3065" s="13">
        <f>F3054+F3055+F3059+F3063+F3064</f>
        <v>424.21</v>
      </c>
      <c r="G3065" s="13">
        <f>G3054+G3055+G3059+G3063+G3064</f>
        <v>23.457752709577527</v>
      </c>
    </row>
    <row r="3066" spans="2:7" ht="12.75">
      <c r="B3066" s="2">
        <v>4</v>
      </c>
      <c r="C3066" s="10" t="s">
        <v>29</v>
      </c>
      <c r="D3066" s="13">
        <v>33</v>
      </c>
      <c r="E3066" s="13">
        <v>1.8</v>
      </c>
      <c r="F3066" s="12"/>
      <c r="G3066" s="12"/>
    </row>
    <row r="3067" spans="2:7" ht="12.75">
      <c r="B3067" s="5">
        <v>5</v>
      </c>
      <c r="C3067" s="10" t="s">
        <v>13</v>
      </c>
      <c r="D3067" s="13">
        <f>D3065+D3066</f>
        <v>363.08</v>
      </c>
      <c r="E3067" s="13">
        <f>E3065+E3066</f>
        <v>20.052598982525993</v>
      </c>
      <c r="F3067" s="13">
        <f>F3065-F3051/1000</f>
        <v>64.27696999999995</v>
      </c>
      <c r="G3067" s="13"/>
    </row>
    <row r="3068" spans="2:7" ht="12.75">
      <c r="B3068" s="5"/>
      <c r="C3068" s="10"/>
      <c r="D3068" s="13"/>
      <c r="E3068" s="13"/>
      <c r="F3068" s="13"/>
      <c r="G3068" s="13"/>
    </row>
    <row r="3069" spans="2:7" ht="12.75">
      <c r="B3069" s="11" t="s">
        <v>30</v>
      </c>
      <c r="C3069" s="11"/>
      <c r="D3069" s="37" t="s">
        <v>6</v>
      </c>
      <c r="E3069" s="13"/>
      <c r="F3069" s="13"/>
      <c r="G3069" s="13"/>
    </row>
    <row r="3070" spans="2:7" ht="12.75">
      <c r="B3070" s="25"/>
      <c r="C3070" s="34" t="s">
        <v>31</v>
      </c>
      <c r="D3070" s="9">
        <v>18337.85</v>
      </c>
      <c r="E3070" s="13"/>
      <c r="F3070" s="13"/>
      <c r="G3070" s="13"/>
    </row>
    <row r="3071" spans="2:7" ht="12.75">
      <c r="B3071" s="5"/>
      <c r="C3071" s="23" t="s">
        <v>32</v>
      </c>
      <c r="D3071" s="9">
        <v>15510.31</v>
      </c>
      <c r="E3071" s="13"/>
      <c r="F3071" s="13"/>
      <c r="G3071" s="13"/>
    </row>
    <row r="3072" spans="2:7" ht="12.75">
      <c r="B3072" s="5"/>
      <c r="C3072" s="36" t="s">
        <v>13</v>
      </c>
      <c r="D3072" s="13">
        <f>D3071-D3070</f>
        <v>-2827.539999999999</v>
      </c>
      <c r="E3072" s="13"/>
      <c r="F3072" s="13"/>
      <c r="G3072" s="13"/>
    </row>
    <row r="3073" spans="2:7" ht="12.75">
      <c r="B3073" s="5"/>
      <c r="C3073" s="34" t="s">
        <v>187</v>
      </c>
      <c r="D3073" s="9">
        <v>20311.4</v>
      </c>
      <c r="E3073" s="13"/>
      <c r="F3073" s="13"/>
      <c r="G3073" s="13"/>
    </row>
    <row r="3074" spans="2:7" ht="12.75">
      <c r="B3074" s="5"/>
      <c r="C3074" s="23" t="s">
        <v>34</v>
      </c>
      <c r="D3074" s="9">
        <v>16838.07</v>
      </c>
      <c r="E3074" s="13"/>
      <c r="F3074" s="13"/>
      <c r="G3074" s="13"/>
    </row>
    <row r="3075" spans="2:7" ht="12.75">
      <c r="B3075" s="5"/>
      <c r="C3075" s="36" t="s">
        <v>13</v>
      </c>
      <c r="D3075" s="13">
        <f>D3074-D3073</f>
        <v>-3473.3300000000017</v>
      </c>
      <c r="E3075" s="13"/>
      <c r="F3075" s="13"/>
      <c r="G3075" s="13"/>
    </row>
    <row r="3076" spans="2:7" ht="12.75">
      <c r="B3076" s="5"/>
      <c r="C3076" s="34" t="s">
        <v>42</v>
      </c>
      <c r="D3076" s="9">
        <v>9824.56</v>
      </c>
      <c r="E3076" s="13"/>
      <c r="F3076" s="13"/>
      <c r="G3076" s="13"/>
    </row>
    <row r="3077" spans="2:7" ht="12.75">
      <c r="B3077" s="5"/>
      <c r="C3077" s="23" t="s">
        <v>43</v>
      </c>
      <c r="D3077" s="9">
        <v>7203.45</v>
      </c>
      <c r="E3077" s="13"/>
      <c r="F3077" s="13"/>
      <c r="G3077" s="13"/>
    </row>
    <row r="3078" spans="2:7" ht="12.75">
      <c r="B3078" s="5"/>
      <c r="C3078" s="36" t="s">
        <v>13</v>
      </c>
      <c r="D3078" s="13">
        <f>D3077-D3076</f>
        <v>-2621.1099999999997</v>
      </c>
      <c r="E3078" s="13"/>
      <c r="F3078" s="13"/>
      <c r="G3078" s="13"/>
    </row>
    <row r="3079" spans="2:7" ht="12.75">
      <c r="B3079" s="5"/>
      <c r="C3079" s="57" t="s">
        <v>35</v>
      </c>
      <c r="D3079" s="13">
        <f>D3072+D3075+D3078</f>
        <v>-8921.98</v>
      </c>
      <c r="E3079" s="13"/>
      <c r="F3079" s="13"/>
      <c r="G3079" s="13"/>
    </row>
    <row r="3080" spans="2:7" ht="12.75">
      <c r="B3080" s="5"/>
      <c r="C3080" s="57"/>
      <c r="D3080" s="13"/>
      <c r="E3080" s="13"/>
      <c r="F3080" s="13"/>
      <c r="G3080" s="13"/>
    </row>
    <row r="3081" spans="2:7" ht="12.75">
      <c r="B3081" s="5"/>
      <c r="C3081" s="14" t="s">
        <v>58</v>
      </c>
      <c r="D3081" s="13"/>
      <c r="E3081" s="13"/>
      <c r="F3081" s="13">
        <v>73.2</v>
      </c>
      <c r="G3081" s="13"/>
    </row>
    <row r="3082" spans="2:7" ht="12.75">
      <c r="B3082" s="5"/>
      <c r="C3082" s="14"/>
      <c r="D3082" s="13"/>
      <c r="E3082" s="13"/>
      <c r="F3082" s="13"/>
      <c r="G3082" s="13"/>
    </row>
    <row r="3083" spans="2:7" ht="12.75">
      <c r="B3083" s="5"/>
      <c r="C3083" s="14" t="s">
        <v>127</v>
      </c>
      <c r="D3083" s="13"/>
      <c r="E3083" s="13"/>
      <c r="F3083" s="37">
        <v>516.8</v>
      </c>
      <c r="G3083" s="13"/>
    </row>
    <row r="3084" spans="2:7" ht="12.75">
      <c r="B3084" s="23" t="s">
        <v>39</v>
      </c>
      <c r="C3084" s="23"/>
      <c r="D3084" s="23"/>
      <c r="E3084" s="23"/>
      <c r="F3084" s="23"/>
      <c r="G3084" s="23"/>
    </row>
    <row r="3085" spans="2:4" ht="12.75">
      <c r="B3085" s="29"/>
      <c r="C3085" s="48"/>
      <c r="D3085" s="49"/>
    </row>
    <row r="3086" spans="2:4" ht="12.75">
      <c r="B3086" s="30"/>
      <c r="C3086" s="42"/>
      <c r="D3086" s="49"/>
    </row>
    <row r="3087" spans="2:7" ht="12.75">
      <c r="B3087" s="1" t="s">
        <v>0</v>
      </c>
      <c r="C3087" s="1"/>
      <c r="D3087" s="1"/>
      <c r="E3087" s="1"/>
      <c r="F3087" s="1"/>
      <c r="G3087" s="1"/>
    </row>
    <row r="3088" spans="2:7" ht="12.75">
      <c r="B3088" s="1" t="s">
        <v>51</v>
      </c>
      <c r="C3088" s="1"/>
      <c r="D3088" s="1"/>
      <c r="E3088" s="1"/>
      <c r="F3088" s="1"/>
      <c r="G3088" s="1"/>
    </row>
    <row r="3089" spans="2:7" ht="12.75">
      <c r="B3089" s="1" t="s">
        <v>188</v>
      </c>
      <c r="C3089" s="1"/>
      <c r="D3089" s="1"/>
      <c r="E3089" s="1"/>
      <c r="F3089" s="1"/>
      <c r="G3089" s="1"/>
    </row>
    <row r="3090" spans="2:7" ht="12.75" customHeight="1">
      <c r="B3090" s="2"/>
      <c r="C3090" s="2" t="s">
        <v>3</v>
      </c>
      <c r="D3090" s="3" t="s">
        <v>41</v>
      </c>
      <c r="E3090" s="3"/>
      <c r="F3090" s="4" t="s">
        <v>109</v>
      </c>
      <c r="G3090" s="4"/>
    </row>
    <row r="3091" spans="2:7" ht="12.75">
      <c r="B3091" s="2"/>
      <c r="C3091" s="2"/>
      <c r="D3091" s="3" t="s">
        <v>6</v>
      </c>
      <c r="E3091" s="3" t="s">
        <v>7</v>
      </c>
      <c r="F3091" s="3" t="s">
        <v>6</v>
      </c>
      <c r="G3091" s="3" t="s">
        <v>8</v>
      </c>
    </row>
    <row r="3092" spans="2:7" ht="12.75">
      <c r="B3092" s="5">
        <v>1</v>
      </c>
      <c r="C3092" s="6" t="s">
        <v>9</v>
      </c>
      <c r="D3092" s="13">
        <v>2184.4</v>
      </c>
      <c r="E3092" s="13"/>
      <c r="F3092" s="13">
        <v>2184.4</v>
      </c>
      <c r="G3092" s="13"/>
    </row>
    <row r="3093" spans="2:7" ht="12.75">
      <c r="B3093" s="5">
        <v>2</v>
      </c>
      <c r="C3093" s="7" t="s">
        <v>186</v>
      </c>
      <c r="D3093" s="8"/>
      <c r="E3093" s="8"/>
      <c r="F3093" s="8" t="s">
        <v>3</v>
      </c>
      <c r="G3093" s="8"/>
    </row>
    <row r="3094" spans="2:7" ht="12.75">
      <c r="B3094" s="5"/>
      <c r="C3094" s="34" t="s">
        <v>164</v>
      </c>
      <c r="D3094" s="9"/>
      <c r="E3094" s="9"/>
      <c r="F3094" s="9">
        <v>528715.77</v>
      </c>
      <c r="G3094" s="9"/>
    </row>
    <row r="3095" spans="2:7" ht="12.75">
      <c r="B3095" s="5"/>
      <c r="C3095" s="34" t="s">
        <v>184</v>
      </c>
      <c r="D3095" s="9"/>
      <c r="E3095" s="9"/>
      <c r="F3095" s="9">
        <v>480343.17</v>
      </c>
      <c r="G3095" s="9"/>
    </row>
    <row r="3096" spans="2:7" ht="12.75">
      <c r="B3096" s="5"/>
      <c r="C3096" s="2" t="s">
        <v>13</v>
      </c>
      <c r="D3096" s="9"/>
      <c r="E3096" s="9"/>
      <c r="F3096" s="9">
        <f>F3095-F3094</f>
        <v>-48372.600000000035</v>
      </c>
      <c r="G3096" s="9"/>
    </row>
    <row r="3097" spans="2:7" ht="12.75">
      <c r="B3097" s="5">
        <v>3</v>
      </c>
      <c r="C3097" s="10" t="s">
        <v>14</v>
      </c>
      <c r="D3097" s="1" t="s">
        <v>15</v>
      </c>
      <c r="E3097" s="1"/>
      <c r="F3097" s="1" t="s">
        <v>15</v>
      </c>
      <c r="G3097" s="1"/>
    </row>
    <row r="3098" spans="2:7" ht="12.75">
      <c r="B3098" s="11" t="s">
        <v>16</v>
      </c>
      <c r="C3098" s="11"/>
      <c r="D3098" s="13">
        <v>71</v>
      </c>
      <c r="E3098" s="13">
        <f>D3098/2184.4/12*1000</f>
        <v>2.708600378441067</v>
      </c>
      <c r="F3098" s="13">
        <v>71.4</v>
      </c>
      <c r="G3098" s="13">
        <f>F3098/2184.4/12*1000</f>
        <v>2.7238600988829886</v>
      </c>
    </row>
    <row r="3099" spans="2:7" ht="12.75" customHeight="1">
      <c r="B3099" s="14" t="s">
        <v>17</v>
      </c>
      <c r="C3099" s="14"/>
      <c r="D3099" s="1">
        <f>D3100+D3101+D3102</f>
        <v>147.15</v>
      </c>
      <c r="E3099" s="13">
        <f>D3099/2184.4/12*1000</f>
        <v>5.613669657571874</v>
      </c>
      <c r="F3099" s="12">
        <f>F3100+F3101+F3102</f>
        <v>437.47</v>
      </c>
      <c r="G3099" s="13">
        <f>F3099/2184.4/12*1000</f>
        <v>16.6891747543185</v>
      </c>
    </row>
    <row r="3100" spans="2:7" ht="12.75">
      <c r="B3100" s="2"/>
      <c r="C3100" s="15" t="s">
        <v>18</v>
      </c>
      <c r="D3100" s="9">
        <v>114.12</v>
      </c>
      <c r="E3100" s="13">
        <f>D3100/2184.4/12*1000</f>
        <v>4.353598242080205</v>
      </c>
      <c r="F3100" s="9">
        <f>41.94+30.25+70.18</f>
        <v>142.37</v>
      </c>
      <c r="G3100" s="13">
        <f>F3100/2184.4/12*1000</f>
        <v>5.431315998290911</v>
      </c>
    </row>
    <row r="3101" spans="2:7" ht="12.75">
      <c r="B3101" s="2"/>
      <c r="C3101" s="15" t="s">
        <v>19</v>
      </c>
      <c r="D3101" s="18">
        <v>33.03</v>
      </c>
      <c r="E3101" s="13">
        <f>D3101/2184.4/12*1000</f>
        <v>1.2600714154916681</v>
      </c>
      <c r="F3101" s="18">
        <v>288.1</v>
      </c>
      <c r="G3101" s="13">
        <f>F3101/2184.4/12*1000</f>
        <v>10.990813648293964</v>
      </c>
    </row>
    <row r="3102" spans="2:7" ht="12.75">
      <c r="B3102" s="32" t="s">
        <v>20</v>
      </c>
      <c r="C3102" s="32"/>
      <c r="D3102" s="18">
        <v>0</v>
      </c>
      <c r="E3102" s="13">
        <f>D3102/2184.4/12*1000</f>
        <v>0</v>
      </c>
      <c r="F3102" s="18">
        <v>7</v>
      </c>
      <c r="G3102" s="13">
        <f>F3102/2184.4/12*1000</f>
        <v>0.26704510773362633</v>
      </c>
    </row>
    <row r="3103" spans="2:7" ht="12.75" customHeight="1">
      <c r="B3103" s="19" t="s">
        <v>21</v>
      </c>
      <c r="C3103" s="19"/>
      <c r="D3103" s="13">
        <f>D3104+D3106+D3105</f>
        <v>163.82999999999998</v>
      </c>
      <c r="E3103" s="13">
        <f>D3103/2184.4/12*1000</f>
        <v>6.249999999999998</v>
      </c>
      <c r="F3103" s="13">
        <f>F3104+F3106+F3105</f>
        <v>164.01999999999995</v>
      </c>
      <c r="G3103" s="13">
        <f>F3103/2184.4/12*1000</f>
        <v>6.257248367209911</v>
      </c>
    </row>
    <row r="3104" spans="2:7" ht="12.75">
      <c r="B3104" s="2"/>
      <c r="C3104" s="15" t="s">
        <v>22</v>
      </c>
      <c r="D3104" s="9">
        <v>137.35</v>
      </c>
      <c r="E3104" s="13">
        <f>D3104/2184.4/12*1000</f>
        <v>5.239806506744796</v>
      </c>
      <c r="F3104" s="8">
        <f>97.95+29.88+4.28+13.2+1.78+2.88+9.2+0.22+1.5</f>
        <v>160.88999999999996</v>
      </c>
      <c r="G3104" s="13">
        <f>F3104/2184.4/12*1000</f>
        <v>6.137841054751875</v>
      </c>
    </row>
    <row r="3105" spans="2:7" ht="12.75">
      <c r="B3105" s="2"/>
      <c r="C3105" s="15" t="s">
        <v>23</v>
      </c>
      <c r="D3105" s="9">
        <v>24.38</v>
      </c>
      <c r="E3105" s="13">
        <f>D3105/2184.4/12*1000</f>
        <v>0.9300799609351157</v>
      </c>
      <c r="F3105" s="9">
        <v>1.4</v>
      </c>
      <c r="G3105" s="13">
        <f>F3105/2184.4/12*1000</f>
        <v>0.053409021546725256</v>
      </c>
    </row>
    <row r="3106" spans="2:7" ht="12.75">
      <c r="B3106" s="2"/>
      <c r="C3106" s="20" t="s">
        <v>24</v>
      </c>
      <c r="D3106" s="9">
        <v>2.1</v>
      </c>
      <c r="E3106" s="13">
        <f>D3106/2184.4/12*1000</f>
        <v>0.08011353232008789</v>
      </c>
      <c r="F3106" s="9">
        <v>1.73</v>
      </c>
      <c r="G3106" s="13">
        <f>F3106/2184.4/12*1000</f>
        <v>0.0659982909113105</v>
      </c>
    </row>
    <row r="3107" spans="2:7" ht="12.75">
      <c r="B3107" s="11" t="s">
        <v>25</v>
      </c>
      <c r="C3107" s="11"/>
      <c r="D3107" s="13">
        <v>15.46</v>
      </c>
      <c r="E3107" s="13">
        <f>D3107/2184.4/12*1000</f>
        <v>0.5897881950802661</v>
      </c>
      <c r="F3107" s="13">
        <v>14.4</v>
      </c>
      <c r="G3107" s="13">
        <f>F3107/2184.4/12*1000</f>
        <v>0.5493499359091741</v>
      </c>
    </row>
    <row r="3108" spans="2:7" ht="12.75">
      <c r="B3108" s="21" t="s">
        <v>26</v>
      </c>
      <c r="C3108" s="21"/>
      <c r="D3108" s="13">
        <v>81</v>
      </c>
      <c r="E3108" s="13">
        <f>D3108/2184.4/12*1000</f>
        <v>3.0900933894891045</v>
      </c>
      <c r="F3108" s="1">
        <f>14.68+67.36</f>
        <v>82.03999999999999</v>
      </c>
      <c r="G3108" s="13">
        <f>F3108/2184.4/12*1000</f>
        <v>3.1297686626381</v>
      </c>
    </row>
    <row r="3109" spans="2:7" ht="12.75">
      <c r="B3109" s="21"/>
      <c r="C3109" s="22" t="s">
        <v>27</v>
      </c>
      <c r="D3109" s="13">
        <v>0</v>
      </c>
      <c r="E3109" s="13">
        <v>0</v>
      </c>
      <c r="F3109" s="13">
        <v>23.95</v>
      </c>
      <c r="G3109" s="13">
        <f>F3109/2184.4/9*1000</f>
        <v>1.2182343486134</v>
      </c>
    </row>
    <row r="3110" spans="2:7" ht="12.75">
      <c r="B3110" s="2"/>
      <c r="C3110" s="10" t="s">
        <v>28</v>
      </c>
      <c r="D3110" s="12">
        <f>D3098+D3099+D3103+D3107+D3108</f>
        <v>478.44</v>
      </c>
      <c r="E3110" s="12">
        <f>E3098+E3099+E3103+E3107+E3108</f>
        <v>18.25215162058231</v>
      </c>
      <c r="F3110" s="13">
        <f>F3098+F3099+F3103+F3107+F3108+F3109</f>
        <v>793.28</v>
      </c>
      <c r="G3110" s="13">
        <f>G3098+G3099+G3103+G3107+G3108+G3109</f>
        <v>30.567636167572072</v>
      </c>
    </row>
    <row r="3111" spans="2:7" ht="12.75">
      <c r="B3111" s="2">
        <v>4</v>
      </c>
      <c r="C3111" s="10" t="s">
        <v>29</v>
      </c>
      <c r="D3111" s="13">
        <v>47.84</v>
      </c>
      <c r="E3111" s="12">
        <v>1.8</v>
      </c>
      <c r="F3111" s="12"/>
      <c r="G3111" s="12"/>
    </row>
    <row r="3112" spans="2:7" ht="12.75">
      <c r="B3112" s="5">
        <v>5</v>
      </c>
      <c r="C3112" s="10" t="s">
        <v>13</v>
      </c>
      <c r="D3112" s="13">
        <f>D3110+D3111</f>
        <v>526.28</v>
      </c>
      <c r="E3112" s="13">
        <f>E3110+E3111</f>
        <v>20.05215162058231</v>
      </c>
      <c r="F3112" s="13">
        <f>F3110-F3095/1000</f>
        <v>312.93683</v>
      </c>
      <c r="G3112" s="13"/>
    </row>
    <row r="3113" spans="2:7" ht="12.75">
      <c r="B3113" s="5"/>
      <c r="C3113" s="10"/>
      <c r="D3113" s="13"/>
      <c r="E3113" s="13"/>
      <c r="F3113" s="13"/>
      <c r="G3113" s="13"/>
    </row>
    <row r="3114" spans="2:7" ht="12.75">
      <c r="B3114" s="11" t="s">
        <v>30</v>
      </c>
      <c r="C3114" s="11"/>
      <c r="D3114" s="37" t="s">
        <v>6</v>
      </c>
      <c r="E3114" s="13"/>
      <c r="F3114" s="13"/>
      <c r="G3114" s="13"/>
    </row>
    <row r="3115" spans="2:7" ht="12.75">
      <c r="B3115" s="25"/>
      <c r="C3115" s="34" t="s">
        <v>31</v>
      </c>
      <c r="D3115" s="9">
        <v>3342.2</v>
      </c>
      <c r="E3115" s="13"/>
      <c r="F3115" s="13"/>
      <c r="G3115" s="13"/>
    </row>
    <row r="3116" spans="2:7" ht="12.75">
      <c r="B3116" s="5"/>
      <c r="C3116" s="23" t="s">
        <v>32</v>
      </c>
      <c r="D3116" s="9">
        <v>3190.63</v>
      </c>
      <c r="E3116" s="13"/>
      <c r="F3116" s="13"/>
      <c r="G3116" s="13"/>
    </row>
    <row r="3117" spans="2:7" ht="12.75">
      <c r="B3117" s="5"/>
      <c r="C3117" s="36" t="s">
        <v>13</v>
      </c>
      <c r="D3117" s="13">
        <f>D3116-D3115</f>
        <v>-151.5699999999997</v>
      </c>
      <c r="E3117" s="13"/>
      <c r="F3117" s="13"/>
      <c r="G3117" s="13"/>
    </row>
    <row r="3118" spans="2:7" ht="12.75">
      <c r="B3118" s="5"/>
      <c r="C3118" s="34" t="s">
        <v>187</v>
      </c>
      <c r="D3118" s="9">
        <v>3691.66</v>
      </c>
      <c r="E3118" s="13"/>
      <c r="F3118" s="13"/>
      <c r="G3118" s="13"/>
    </row>
    <row r="3119" spans="2:7" ht="12.75">
      <c r="B3119" s="5"/>
      <c r="C3119" s="23" t="s">
        <v>34</v>
      </c>
      <c r="D3119" s="9">
        <v>2895.35</v>
      </c>
      <c r="E3119" s="13"/>
      <c r="F3119" s="13"/>
      <c r="G3119" s="13"/>
    </row>
    <row r="3120" spans="2:7" ht="12.75">
      <c r="B3120" s="5"/>
      <c r="C3120" s="36" t="s">
        <v>13</v>
      </c>
      <c r="D3120" s="13">
        <f>D3119-D3118</f>
        <v>-796.31</v>
      </c>
      <c r="E3120" s="13"/>
      <c r="F3120" s="13"/>
      <c r="G3120" s="13"/>
    </row>
    <row r="3121" spans="2:7" ht="12.75">
      <c r="B3121" s="5"/>
      <c r="C3121" s="34" t="s">
        <v>42</v>
      </c>
      <c r="D3121" s="9">
        <v>10572.48</v>
      </c>
      <c r="E3121" s="13"/>
      <c r="F3121" s="13"/>
      <c r="G3121" s="13"/>
    </row>
    <row r="3122" spans="2:7" ht="12.75">
      <c r="B3122" s="5"/>
      <c r="C3122" s="23" t="s">
        <v>43</v>
      </c>
      <c r="D3122" s="9">
        <v>7457.85</v>
      </c>
      <c r="E3122" s="13"/>
      <c r="F3122" s="13"/>
      <c r="G3122" s="13"/>
    </row>
    <row r="3123" spans="2:7" ht="12.75">
      <c r="B3123" s="5"/>
      <c r="C3123" s="36" t="s">
        <v>13</v>
      </c>
      <c r="D3123" s="13">
        <f>D3122-D3121</f>
        <v>-3114.629999999999</v>
      </c>
      <c r="E3123" s="13"/>
      <c r="F3123" s="13"/>
      <c r="G3123" s="13"/>
    </row>
    <row r="3124" spans="2:7" ht="12.75">
      <c r="B3124" s="5"/>
      <c r="C3124" s="57" t="s">
        <v>35</v>
      </c>
      <c r="D3124" s="37">
        <f>D3117+D3120+D3123</f>
        <v>-4062.509999999999</v>
      </c>
      <c r="E3124" s="13"/>
      <c r="F3124" s="13"/>
      <c r="G3124" s="13"/>
    </row>
    <row r="3125" spans="2:7" ht="12.75">
      <c r="B3125" s="5"/>
      <c r="C3125" s="14" t="s">
        <v>58</v>
      </c>
      <c r="D3125" s="13"/>
      <c r="E3125" s="13"/>
      <c r="F3125" s="13">
        <v>317</v>
      </c>
      <c r="G3125" s="13"/>
    </row>
    <row r="3126" spans="2:7" ht="12.75">
      <c r="B3126" s="5"/>
      <c r="C3126" s="14"/>
      <c r="D3126" s="13"/>
      <c r="E3126" s="13"/>
      <c r="F3126" s="13"/>
      <c r="G3126" s="13"/>
    </row>
    <row r="3127" spans="2:7" ht="12.75">
      <c r="B3127" s="5"/>
      <c r="C3127" s="14" t="s">
        <v>127</v>
      </c>
      <c r="D3127" s="13"/>
      <c r="E3127" s="13"/>
      <c r="F3127" s="37">
        <v>297.6</v>
      </c>
      <c r="G3127" s="13"/>
    </row>
    <row r="3128" spans="2:7" ht="12.75">
      <c r="B3128" s="23" t="s">
        <v>39</v>
      </c>
      <c r="C3128" s="23"/>
      <c r="D3128" s="23"/>
      <c r="E3128" s="23"/>
      <c r="F3128" s="23"/>
      <c r="G3128" s="23"/>
    </row>
    <row r="3130" spans="2:7" ht="12.75">
      <c r="B3130" s="1" t="s">
        <v>0</v>
      </c>
      <c r="C3130" s="1"/>
      <c r="D3130" s="1"/>
      <c r="E3130" s="1"/>
      <c r="F3130" s="1"/>
      <c r="G3130" s="1"/>
    </row>
    <row r="3131" spans="2:7" ht="12.75">
      <c r="B3131" s="1" t="s">
        <v>51</v>
      </c>
      <c r="C3131" s="1"/>
      <c r="D3131" s="1"/>
      <c r="E3131" s="1"/>
      <c r="F3131" s="1"/>
      <c r="G3131" s="1"/>
    </row>
    <row r="3132" spans="2:7" ht="12.75">
      <c r="B3132" s="1" t="s">
        <v>189</v>
      </c>
      <c r="C3132" s="1"/>
      <c r="D3132" s="1"/>
      <c r="E3132" s="1"/>
      <c r="F3132" s="1"/>
      <c r="G3132" s="1"/>
    </row>
    <row r="3133" spans="2:7" ht="12.75" customHeight="1">
      <c r="B3133" s="2"/>
      <c r="C3133" s="2" t="s">
        <v>3</v>
      </c>
      <c r="D3133" s="3" t="s">
        <v>41</v>
      </c>
      <c r="E3133" s="3"/>
      <c r="F3133" s="4" t="s">
        <v>190</v>
      </c>
      <c r="G3133" s="4"/>
    </row>
    <row r="3134" spans="2:7" ht="12.75">
      <c r="B3134" s="2"/>
      <c r="C3134" s="2"/>
      <c r="D3134" s="3" t="s">
        <v>6</v>
      </c>
      <c r="E3134" s="3" t="s">
        <v>7</v>
      </c>
      <c r="F3134" s="3" t="s">
        <v>6</v>
      </c>
      <c r="G3134" s="3" t="s">
        <v>8</v>
      </c>
    </row>
    <row r="3135" spans="2:7" ht="12.75">
      <c r="B3135" s="5">
        <v>1</v>
      </c>
      <c r="C3135" s="6" t="s">
        <v>9</v>
      </c>
      <c r="D3135" s="13">
        <v>3180.1</v>
      </c>
      <c r="E3135" s="13"/>
      <c r="F3135" s="13">
        <v>3180.1</v>
      </c>
      <c r="G3135" s="13"/>
    </row>
    <row r="3136" spans="2:7" ht="12.75">
      <c r="B3136" s="5">
        <v>2</v>
      </c>
      <c r="C3136" s="7" t="s">
        <v>186</v>
      </c>
      <c r="D3136" s="8"/>
      <c r="E3136" s="8"/>
      <c r="F3136" s="8" t="s">
        <v>3</v>
      </c>
      <c r="G3136" s="8"/>
    </row>
    <row r="3137" spans="2:7" ht="12.75">
      <c r="B3137" s="5"/>
      <c r="C3137" s="34" t="s">
        <v>164</v>
      </c>
      <c r="D3137" s="9"/>
      <c r="E3137" s="9"/>
      <c r="F3137" s="9">
        <v>792076.02</v>
      </c>
      <c r="G3137" s="9"/>
    </row>
    <row r="3138" spans="2:7" ht="12.75">
      <c r="B3138" s="5"/>
      <c r="C3138" s="34" t="s">
        <v>184</v>
      </c>
      <c r="D3138" s="9"/>
      <c r="E3138" s="9"/>
      <c r="F3138" s="9">
        <v>804328.23</v>
      </c>
      <c r="G3138" s="9"/>
    </row>
    <row r="3139" spans="2:7" ht="12.75">
      <c r="B3139" s="5"/>
      <c r="C3139" s="2" t="s">
        <v>13</v>
      </c>
      <c r="D3139" s="9"/>
      <c r="E3139" s="9"/>
      <c r="F3139" s="9">
        <f>F3138-F3137</f>
        <v>12252.209999999963</v>
      </c>
      <c r="G3139" s="9"/>
    </row>
    <row r="3140" spans="2:7" ht="12.75">
      <c r="B3140" s="5">
        <v>3</v>
      </c>
      <c r="C3140" s="10" t="s">
        <v>14</v>
      </c>
      <c r="D3140" s="1" t="s">
        <v>15</v>
      </c>
      <c r="E3140" s="1"/>
      <c r="F3140" s="1" t="s">
        <v>15</v>
      </c>
      <c r="G3140" s="1"/>
    </row>
    <row r="3141" spans="2:7" ht="12.75">
      <c r="B3141" s="11" t="s">
        <v>16</v>
      </c>
      <c r="C3141" s="11"/>
      <c r="D3141" s="13">
        <v>103.4</v>
      </c>
      <c r="E3141" s="13">
        <f>D3141/3180.1/12*1000</f>
        <v>2.7095583996310393</v>
      </c>
      <c r="F3141" s="13">
        <v>106.9</v>
      </c>
      <c r="G3141" s="13">
        <f>F3141/3180.1/12*1000</f>
        <v>2.8012745930421477</v>
      </c>
    </row>
    <row r="3142" spans="2:7" ht="12.75" customHeight="1">
      <c r="B3142" s="14" t="s">
        <v>17</v>
      </c>
      <c r="C3142" s="14"/>
      <c r="D3142" s="1">
        <f>D3143+D3144+D3145</f>
        <v>214</v>
      </c>
      <c r="E3142" s="13">
        <f>D3142/3180.1/12*1000</f>
        <v>5.607790111422074</v>
      </c>
      <c r="F3142" s="12">
        <f>F3143+F3144+F3145</f>
        <v>392.85</v>
      </c>
      <c r="G3142" s="13">
        <f>F3142/3180.1/12*1000</f>
        <v>10.294487594729727</v>
      </c>
    </row>
    <row r="3143" spans="2:7" ht="12.75">
      <c r="B3143" s="2"/>
      <c r="C3143" s="15" t="s">
        <v>18</v>
      </c>
      <c r="D3143" s="9">
        <v>166.2</v>
      </c>
      <c r="E3143" s="13">
        <f>D3143/3180.1/12*1000</f>
        <v>4.355208955693217</v>
      </c>
      <c r="F3143" s="9">
        <f>61.08+16.17+102.2</f>
        <v>179.45</v>
      </c>
      <c r="G3143" s="13">
        <f>F3143/3180.1/12*1000</f>
        <v>4.702420259320985</v>
      </c>
    </row>
    <row r="3144" spans="2:7" ht="12.75">
      <c r="B3144" s="2"/>
      <c r="C3144" s="15" t="s">
        <v>19</v>
      </c>
      <c r="D3144" s="18">
        <v>47.8</v>
      </c>
      <c r="E3144" s="13">
        <f>D3144/3180.1/12*1000</f>
        <v>1.2525811557288553</v>
      </c>
      <c r="F3144" s="18">
        <v>213.4</v>
      </c>
      <c r="G3144" s="13">
        <f>F3144/3180.1/12*1000</f>
        <v>5.592067335408741</v>
      </c>
    </row>
    <row r="3145" spans="2:7" ht="12.75">
      <c r="B3145" s="32" t="s">
        <v>20</v>
      </c>
      <c r="C3145" s="32"/>
      <c r="D3145" s="18">
        <v>0</v>
      </c>
      <c r="E3145" s="13">
        <f>D3145/3180.1/12*1000</f>
        <v>0</v>
      </c>
      <c r="F3145" s="18">
        <v>0</v>
      </c>
      <c r="G3145" s="13">
        <f>F3145/3180.1/12*1000</f>
        <v>0</v>
      </c>
    </row>
    <row r="3146" spans="2:7" ht="12.75" customHeight="1">
      <c r="B3146" s="19" t="s">
        <v>21</v>
      </c>
      <c r="C3146" s="19"/>
      <c r="D3146" s="13">
        <f>D3147+D3149+D3148</f>
        <v>238.54000000000002</v>
      </c>
      <c r="E3146" s="13">
        <f>D3146/3180.1/12*1000</f>
        <v>6.25085165036739</v>
      </c>
      <c r="F3146" s="13">
        <f>F3147+F3149+F3148</f>
        <v>242.69</v>
      </c>
      <c r="G3146" s="13">
        <f>F3146/3180.1/12*1000</f>
        <v>6.359600851126275</v>
      </c>
    </row>
    <row r="3147" spans="2:7" ht="12.75">
      <c r="B3147" s="2"/>
      <c r="C3147" s="15" t="s">
        <v>22</v>
      </c>
      <c r="D3147" s="9">
        <v>200</v>
      </c>
      <c r="E3147" s="13">
        <f>D3147/3180.1/12*1000</f>
        <v>5.240925337777639</v>
      </c>
      <c r="F3147" s="8">
        <f>142.65+43.5+6.24+19.24+2.6+12.2+5.2+0.32+2.23</f>
        <v>234.17999999999998</v>
      </c>
      <c r="G3147" s="13">
        <f>F3147/3180.1/12*1000</f>
        <v>6.136599478003837</v>
      </c>
    </row>
    <row r="3148" spans="2:7" ht="12.75">
      <c r="B3148" s="2"/>
      <c r="C3148" s="15" t="s">
        <v>23</v>
      </c>
      <c r="D3148" s="9">
        <v>35.49</v>
      </c>
      <c r="E3148" s="13">
        <f>D3148/3180.1/12*1000</f>
        <v>0.9300022011886419</v>
      </c>
      <c r="F3148" s="9">
        <v>6.9</v>
      </c>
      <c r="G3148" s="13">
        <f>F3148/3180.1/12*1000</f>
        <v>0.18081192415332853</v>
      </c>
    </row>
    <row r="3149" spans="2:7" ht="12.75">
      <c r="B3149" s="2"/>
      <c r="C3149" s="20" t="s">
        <v>24</v>
      </c>
      <c r="D3149" s="9">
        <v>3.05</v>
      </c>
      <c r="E3149" s="13">
        <f>D3149/3180.1/12*1000</f>
        <v>0.07992411140110897</v>
      </c>
      <c r="F3149" s="9">
        <v>1.61</v>
      </c>
      <c r="G3149" s="13">
        <f>F3149/3180.1/12*1000</f>
        <v>0.042189448969109984</v>
      </c>
    </row>
    <row r="3150" spans="2:7" ht="12.75">
      <c r="B3150" s="11" t="s">
        <v>25</v>
      </c>
      <c r="C3150" s="11"/>
      <c r="D3150" s="13">
        <v>22.5</v>
      </c>
      <c r="E3150" s="13">
        <f>D3150/3180.1/12*1000</f>
        <v>0.5896041004999842</v>
      </c>
      <c r="F3150" s="13">
        <v>24.12</v>
      </c>
      <c r="G3150" s="13">
        <f>F3150/3180.1/12*1000</f>
        <v>0.6320555957359831</v>
      </c>
    </row>
    <row r="3151" spans="2:7" ht="12.75">
      <c r="B3151" s="21" t="s">
        <v>26</v>
      </c>
      <c r="C3151" s="21"/>
      <c r="D3151" s="13">
        <v>118</v>
      </c>
      <c r="E3151" s="13">
        <f>D3151/3180.1/12*1000</f>
        <v>3.0921459492888066</v>
      </c>
      <c r="F3151" s="1">
        <f>21.38+98.1</f>
        <v>119.47999999999999</v>
      </c>
      <c r="G3151" s="13">
        <f>F3151/3180.1/12*1000</f>
        <v>3.130928796788361</v>
      </c>
    </row>
    <row r="3152" spans="2:7" ht="12.75">
      <c r="B3152" s="21"/>
      <c r="C3152" s="22" t="s">
        <v>27</v>
      </c>
      <c r="D3152" s="13">
        <v>0</v>
      </c>
      <c r="E3152" s="13">
        <v>0</v>
      </c>
      <c r="F3152" s="1">
        <v>26.72</v>
      </c>
      <c r="G3152" s="13">
        <f>F3152/3180.1/10*1000</f>
        <v>0.8402251501525109</v>
      </c>
    </row>
    <row r="3153" spans="2:7" ht="12.75">
      <c r="B3153" s="2"/>
      <c r="C3153" s="10" t="s">
        <v>28</v>
      </c>
      <c r="D3153" s="12">
        <f>D3141+D3142+D3146+D3150+D3151</f>
        <v>696.44</v>
      </c>
      <c r="E3153" s="12">
        <f>E3141+E3142+E3146+E3150+E3151</f>
        <v>18.249950211209296</v>
      </c>
      <c r="F3153" s="12">
        <f>F3141+F3142+F3146+F3150+F3151+F3152</f>
        <v>912.7600000000001</v>
      </c>
      <c r="G3153" s="13">
        <f>G3141+G3142+G3146+G3150+G3151+G3152</f>
        <v>24.058572581575003</v>
      </c>
    </row>
    <row r="3154" spans="2:7" ht="12.75">
      <c r="B3154" s="2">
        <v>4</v>
      </c>
      <c r="C3154" s="10" t="s">
        <v>29</v>
      </c>
      <c r="D3154" s="13">
        <v>69.64</v>
      </c>
      <c r="E3154" s="13">
        <v>1.8</v>
      </c>
      <c r="F3154" s="12"/>
      <c r="G3154" s="12"/>
    </row>
    <row r="3155" spans="2:7" ht="12.75">
      <c r="B3155" s="5">
        <v>5</v>
      </c>
      <c r="C3155" s="10" t="s">
        <v>13</v>
      </c>
      <c r="D3155" s="13">
        <f>D3153+D3154</f>
        <v>766.08</v>
      </c>
      <c r="E3155" s="13">
        <f>E3153+E3154</f>
        <v>20.049950211209296</v>
      </c>
      <c r="F3155" s="13">
        <f>F3153-F3138/1000</f>
        <v>108.43177000000014</v>
      </c>
      <c r="G3155" s="13"/>
    </row>
    <row r="3156" spans="2:7" ht="12.75">
      <c r="B3156" s="5"/>
      <c r="C3156" s="10"/>
      <c r="D3156" s="13"/>
      <c r="E3156" s="13"/>
      <c r="F3156" s="13"/>
      <c r="G3156" s="13"/>
    </row>
    <row r="3157" spans="2:7" ht="12.75">
      <c r="B3157" s="11" t="s">
        <v>30</v>
      </c>
      <c r="C3157" s="11"/>
      <c r="D3157" s="37" t="s">
        <v>6</v>
      </c>
      <c r="E3157" s="13"/>
      <c r="F3157" s="13"/>
      <c r="G3157" s="13"/>
    </row>
    <row r="3158" spans="2:7" ht="12.75">
      <c r="B3158" s="25"/>
      <c r="C3158" s="34" t="s">
        <v>31</v>
      </c>
      <c r="D3158" s="9">
        <v>67000.03</v>
      </c>
      <c r="E3158" s="13"/>
      <c r="F3158" s="13"/>
      <c r="G3158" s="13"/>
    </row>
    <row r="3159" spans="2:7" ht="12.75">
      <c r="B3159" s="5"/>
      <c r="C3159" s="23" t="s">
        <v>32</v>
      </c>
      <c r="D3159" s="9">
        <v>59100.78</v>
      </c>
      <c r="E3159" s="13"/>
      <c r="F3159" s="13"/>
      <c r="G3159" s="13"/>
    </row>
    <row r="3160" spans="2:7" ht="12.75">
      <c r="B3160" s="5"/>
      <c r="C3160" s="36" t="s">
        <v>13</v>
      </c>
      <c r="D3160" s="13">
        <f>D3159-D3158</f>
        <v>-7899.25</v>
      </c>
      <c r="E3160" s="13"/>
      <c r="F3160" s="13"/>
      <c r="G3160" s="13"/>
    </row>
    <row r="3161" spans="2:7" ht="12.75">
      <c r="B3161" s="5"/>
      <c r="C3161" s="34" t="s">
        <v>187</v>
      </c>
      <c r="D3161" s="9">
        <v>74062.67</v>
      </c>
      <c r="E3161" s="13"/>
      <c r="F3161" s="13"/>
      <c r="G3161" s="13"/>
    </row>
    <row r="3162" spans="2:7" ht="12.75">
      <c r="B3162" s="5"/>
      <c r="C3162" s="23" t="s">
        <v>34</v>
      </c>
      <c r="D3162" s="9">
        <v>64444.45</v>
      </c>
      <c r="E3162" s="13"/>
      <c r="F3162" s="13"/>
      <c r="G3162" s="13"/>
    </row>
    <row r="3163" spans="2:7" ht="12.75">
      <c r="B3163" s="5"/>
      <c r="C3163" s="36" t="s">
        <v>13</v>
      </c>
      <c r="D3163" s="13">
        <f>D3162-D3161</f>
        <v>-9618.220000000001</v>
      </c>
      <c r="E3163" s="13"/>
      <c r="F3163" s="13"/>
      <c r="G3163" s="13"/>
    </row>
    <row r="3164" spans="2:7" ht="12.75">
      <c r="B3164" s="5"/>
      <c r="C3164" s="34" t="s">
        <v>42</v>
      </c>
      <c r="D3164" s="9">
        <v>18519.45</v>
      </c>
      <c r="E3164" s="13"/>
      <c r="F3164" s="13"/>
      <c r="G3164" s="13"/>
    </row>
    <row r="3165" spans="2:7" ht="12.75">
      <c r="B3165" s="5"/>
      <c r="C3165" s="23" t="s">
        <v>43</v>
      </c>
      <c r="D3165" s="9">
        <v>16874.63</v>
      </c>
      <c r="E3165" s="13"/>
      <c r="F3165" s="13"/>
      <c r="G3165" s="13"/>
    </row>
    <row r="3166" spans="2:7" ht="12.75">
      <c r="B3166" s="5"/>
      <c r="C3166" s="36" t="s">
        <v>13</v>
      </c>
      <c r="D3166" s="13">
        <f>D3165-D3164</f>
        <v>-1644.8199999999997</v>
      </c>
      <c r="E3166" s="13"/>
      <c r="F3166" s="13"/>
      <c r="G3166" s="13"/>
    </row>
    <row r="3167" spans="2:7" ht="12.75">
      <c r="B3167" s="5"/>
      <c r="C3167" s="57" t="s">
        <v>35</v>
      </c>
      <c r="D3167" s="37">
        <f>D3160+D3163+D3166</f>
        <v>-19162.29</v>
      </c>
      <c r="E3167" s="13"/>
      <c r="F3167" s="13"/>
      <c r="G3167" s="13"/>
    </row>
    <row r="3168" spans="2:7" ht="12.75">
      <c r="B3168" s="5"/>
      <c r="C3168" s="14" t="s">
        <v>58</v>
      </c>
      <c r="D3168" s="13"/>
      <c r="E3168" s="13"/>
      <c r="F3168" s="13">
        <v>127.6</v>
      </c>
      <c r="G3168" s="13"/>
    </row>
    <row r="3169" spans="2:7" ht="12.75">
      <c r="B3169" s="5"/>
      <c r="C3169" s="14"/>
      <c r="D3169" s="13"/>
      <c r="E3169" s="13"/>
      <c r="F3169" s="13"/>
      <c r="G3169" s="13"/>
    </row>
    <row r="3170" spans="2:7" ht="12.75">
      <c r="B3170" s="5"/>
      <c r="C3170" s="14" t="s">
        <v>147</v>
      </c>
      <c r="D3170" s="13"/>
      <c r="E3170" s="13"/>
      <c r="F3170" s="37">
        <v>-60.5</v>
      </c>
      <c r="G3170" s="13"/>
    </row>
    <row r="3171" spans="2:7" ht="12.75">
      <c r="B3171" s="23" t="s">
        <v>39</v>
      </c>
      <c r="C3171" s="23"/>
      <c r="D3171" s="23"/>
      <c r="E3171" s="23"/>
      <c r="F3171" s="23"/>
      <c r="G3171" s="23"/>
    </row>
    <row r="3173" spans="2:7" ht="12.75">
      <c r="B3173" s="1" t="s">
        <v>0</v>
      </c>
      <c r="C3173" s="1"/>
      <c r="D3173" s="1"/>
      <c r="E3173" s="1"/>
      <c r="F3173" s="1"/>
      <c r="G3173" s="1"/>
    </row>
    <row r="3174" spans="2:7" ht="12.75">
      <c r="B3174" s="1" t="s">
        <v>51</v>
      </c>
      <c r="C3174" s="1"/>
      <c r="D3174" s="1"/>
      <c r="E3174" s="1"/>
      <c r="F3174" s="1"/>
      <c r="G3174" s="1"/>
    </row>
    <row r="3175" spans="2:7" ht="12.75">
      <c r="B3175" s="1" t="s">
        <v>191</v>
      </c>
      <c r="C3175" s="1"/>
      <c r="D3175" s="1"/>
      <c r="E3175" s="1"/>
      <c r="F3175" s="1"/>
      <c r="G3175" s="1"/>
    </row>
    <row r="3176" spans="2:7" ht="12.75" customHeight="1">
      <c r="B3176" s="2"/>
      <c r="C3176" s="2" t="s">
        <v>3</v>
      </c>
      <c r="D3176" s="3" t="s">
        <v>41</v>
      </c>
      <c r="E3176" s="3"/>
      <c r="F3176" s="4" t="s">
        <v>109</v>
      </c>
      <c r="G3176" s="4"/>
    </row>
    <row r="3177" spans="2:7" ht="12.75">
      <c r="B3177" s="2"/>
      <c r="C3177" s="2"/>
      <c r="D3177" s="3" t="s">
        <v>6</v>
      </c>
      <c r="E3177" s="3" t="s">
        <v>7</v>
      </c>
      <c r="F3177" s="3" t="s">
        <v>6</v>
      </c>
      <c r="G3177" s="3" t="s">
        <v>8</v>
      </c>
    </row>
    <row r="3178" spans="2:7" ht="12.75">
      <c r="B3178" s="5">
        <v>1</v>
      </c>
      <c r="C3178" s="6" t="s">
        <v>9</v>
      </c>
      <c r="D3178" s="13">
        <v>1523.6</v>
      </c>
      <c r="E3178" s="13"/>
      <c r="F3178" s="13">
        <v>1523.6</v>
      </c>
      <c r="G3178" s="13"/>
    </row>
    <row r="3179" spans="2:7" ht="12.75">
      <c r="B3179" s="5">
        <v>2</v>
      </c>
      <c r="C3179" s="7" t="s">
        <v>55</v>
      </c>
      <c r="D3179" s="8"/>
      <c r="E3179" s="8"/>
      <c r="F3179" s="8" t="s">
        <v>3</v>
      </c>
      <c r="G3179" s="8"/>
    </row>
    <row r="3180" spans="2:7" ht="12.75">
      <c r="B3180" s="5"/>
      <c r="C3180" s="34" t="s">
        <v>154</v>
      </c>
      <c r="D3180" s="9"/>
      <c r="E3180" s="9"/>
      <c r="F3180" s="9">
        <v>366794.31</v>
      </c>
      <c r="G3180" s="9"/>
    </row>
    <row r="3181" spans="2:7" ht="12.75">
      <c r="B3181" s="5"/>
      <c r="C3181" s="34" t="s">
        <v>155</v>
      </c>
      <c r="D3181" s="9"/>
      <c r="E3181" s="9"/>
      <c r="F3181" s="9">
        <v>367957.56</v>
      </c>
      <c r="G3181" s="9"/>
    </row>
    <row r="3182" spans="2:7" ht="12.75">
      <c r="B3182" s="5"/>
      <c r="C3182" s="2" t="s">
        <v>13</v>
      </c>
      <c r="D3182" s="9"/>
      <c r="E3182" s="9"/>
      <c r="F3182" s="9">
        <f>F3181-F3180</f>
        <v>1163.25</v>
      </c>
      <c r="G3182" s="9"/>
    </row>
    <row r="3183" spans="2:7" ht="12.75">
      <c r="B3183" s="5">
        <v>3</v>
      </c>
      <c r="C3183" s="10" t="s">
        <v>14</v>
      </c>
      <c r="D3183" s="1" t="s">
        <v>15</v>
      </c>
      <c r="E3183" s="1"/>
      <c r="F3183" s="1" t="s">
        <v>15</v>
      </c>
      <c r="G3183" s="1"/>
    </row>
    <row r="3184" spans="2:7" ht="12.75">
      <c r="B3184" s="11" t="s">
        <v>16</v>
      </c>
      <c r="C3184" s="11"/>
      <c r="D3184" s="13">
        <v>49.55</v>
      </c>
      <c r="E3184" s="13">
        <f>D3184/1523.6/12*1000</f>
        <v>2.7101382690119893</v>
      </c>
      <c r="F3184" s="13">
        <v>49.52</v>
      </c>
      <c r="G3184" s="13">
        <f>F3184/1523.6/12*1000</f>
        <v>2.708497418395029</v>
      </c>
    </row>
    <row r="3185" spans="2:7" ht="12.75" customHeight="1">
      <c r="B3185" s="14" t="s">
        <v>17</v>
      </c>
      <c r="C3185" s="14"/>
      <c r="D3185" s="1">
        <f>D3186+D3187+D3188</f>
        <v>102.55000000000001</v>
      </c>
      <c r="E3185" s="13">
        <f>D3185/1523.6/12*1000</f>
        <v>5.6089743589743595</v>
      </c>
      <c r="F3185" s="12">
        <f>F3186+F3187+F3188</f>
        <v>119.67</v>
      </c>
      <c r="G3185" s="13">
        <f>F3185/1523.6/12*1000</f>
        <v>6.545353111052771</v>
      </c>
    </row>
    <row r="3186" spans="2:7" ht="12.75">
      <c r="B3186" s="2"/>
      <c r="C3186" s="15" t="s">
        <v>18</v>
      </c>
      <c r="D3186" s="9">
        <v>79.65</v>
      </c>
      <c r="E3186" s="13">
        <f>D3186/1523.6/12*1000</f>
        <v>4.356458388028354</v>
      </c>
      <c r="F3186" s="9">
        <f>29.27+4.08+48.98</f>
        <v>82.33</v>
      </c>
      <c r="G3186" s="13">
        <f>F3186/1523.6/12*1000</f>
        <v>4.5030410431434325</v>
      </c>
    </row>
    <row r="3187" spans="2:7" ht="12.75">
      <c r="B3187" s="2"/>
      <c r="C3187" s="15" t="s">
        <v>19</v>
      </c>
      <c r="D3187" s="18">
        <v>22.9</v>
      </c>
      <c r="E3187" s="13">
        <f>D3187/1523.6/12*1000</f>
        <v>1.252515970946005</v>
      </c>
      <c r="F3187" s="18">
        <v>30.34</v>
      </c>
      <c r="G3187" s="13">
        <f>F3187/1523.6/12*1000</f>
        <v>1.6594469239520435</v>
      </c>
    </row>
    <row r="3188" spans="2:7" ht="12.75">
      <c r="B3188" s="32" t="s">
        <v>20</v>
      </c>
      <c r="C3188" s="32"/>
      <c r="D3188" s="18">
        <v>0</v>
      </c>
      <c r="E3188" s="13">
        <f>D3188/1523.6/12*1000</f>
        <v>0</v>
      </c>
      <c r="F3188" s="18">
        <v>7</v>
      </c>
      <c r="G3188" s="13">
        <f>F3188/1523.6/12*1000</f>
        <v>0.3828651439572942</v>
      </c>
    </row>
    <row r="3189" spans="2:7" ht="12.75" customHeight="1">
      <c r="B3189" s="19" t="s">
        <v>21</v>
      </c>
      <c r="C3189" s="19"/>
      <c r="D3189" s="13">
        <f>D3190+D3192+D3191</f>
        <v>114.25999999999999</v>
      </c>
      <c r="E3189" s="13">
        <f>D3189/1523.6/12*1000</f>
        <v>6.249453049794347</v>
      </c>
      <c r="F3189" s="13">
        <f>F3190+F3192+F3191</f>
        <v>126.03999999999998</v>
      </c>
      <c r="G3189" s="13">
        <f>F3189/1523.6/12*1000</f>
        <v>6.893760392053906</v>
      </c>
    </row>
    <row r="3190" spans="2:7" ht="12.75">
      <c r="B3190" s="2"/>
      <c r="C3190" s="15" t="s">
        <v>22</v>
      </c>
      <c r="D3190" s="9">
        <v>95.8</v>
      </c>
      <c r="E3190" s="13">
        <f>D3190/1523.6/12*1000</f>
        <v>5.239782970158396</v>
      </c>
      <c r="F3190" s="8">
        <f>68.37+20.85+3+9.22+1.24+12.97+4.4+0.16+1.07</f>
        <v>121.27999999999999</v>
      </c>
      <c r="G3190" s="13">
        <f>F3190/1523.6/12*1000</f>
        <v>6.633412094162947</v>
      </c>
    </row>
    <row r="3191" spans="2:7" ht="12.75">
      <c r="B3191" s="2"/>
      <c r="C3191" s="15" t="s">
        <v>23</v>
      </c>
      <c r="D3191" s="9">
        <v>17</v>
      </c>
      <c r="E3191" s="13">
        <f>D3191/1523.6/12*1000</f>
        <v>0.9298153496105714</v>
      </c>
      <c r="F3191" s="9">
        <v>4.6</v>
      </c>
      <c r="G3191" s="13">
        <f>F3191/1523.6/12*1000</f>
        <v>0.2515970946005076</v>
      </c>
    </row>
    <row r="3192" spans="2:7" ht="12.75">
      <c r="B3192" s="2"/>
      <c r="C3192" s="20" t="s">
        <v>24</v>
      </c>
      <c r="D3192" s="9">
        <v>1.46</v>
      </c>
      <c r="E3192" s="13">
        <f>D3192/1523.6/12*1000</f>
        <v>0.07985473002537849</v>
      </c>
      <c r="F3192" s="9">
        <v>0.16</v>
      </c>
      <c r="G3192" s="13">
        <f>F3192/1523.6/12*1000</f>
        <v>0.008751203290452437</v>
      </c>
    </row>
    <row r="3193" spans="2:7" ht="12.75">
      <c r="B3193" s="11" t="s">
        <v>25</v>
      </c>
      <c r="C3193" s="11"/>
      <c r="D3193" s="13">
        <v>10.8</v>
      </c>
      <c r="E3193" s="13">
        <f>D3193/1523.6/12*1000</f>
        <v>0.5907062221055396</v>
      </c>
      <c r="F3193" s="13">
        <v>10.97</v>
      </c>
      <c r="G3193" s="13">
        <f>F3193/1523.6/12*1000</f>
        <v>0.6000043756016453</v>
      </c>
    </row>
    <row r="3194" spans="2:7" ht="12.75">
      <c r="B3194" s="21" t="s">
        <v>26</v>
      </c>
      <c r="C3194" s="21"/>
      <c r="D3194" s="13">
        <v>56.5</v>
      </c>
      <c r="E3194" s="13">
        <f>D3194/1523.6/12*1000</f>
        <v>3.0902686619410176</v>
      </c>
      <c r="F3194" s="1">
        <f>10.25+47.02</f>
        <v>57.27</v>
      </c>
      <c r="G3194" s="13">
        <f>F3194/1523.6/12*1000</f>
        <v>3.13238382777632</v>
      </c>
    </row>
    <row r="3195" spans="2:7" ht="12.75">
      <c r="B3195" s="2"/>
      <c r="C3195" s="10" t="s">
        <v>28</v>
      </c>
      <c r="D3195" s="12">
        <f>D3184+D3185+D3189+D3193+D3194</f>
        <v>333.66</v>
      </c>
      <c r="E3195" s="12">
        <f>E3184+E3185+E3189+E3193+E3194</f>
        <v>18.249540561827253</v>
      </c>
      <c r="F3195" s="13">
        <f>F3184+F3185+F3189+F3193+F3194</f>
        <v>363.46999999999997</v>
      </c>
      <c r="G3195" s="13">
        <f>G3184+G3185+G3189+G3193+G3194</f>
        <v>19.87999912487967</v>
      </c>
    </row>
    <row r="3196" spans="2:7" ht="12.75">
      <c r="B3196" s="2">
        <v>4</v>
      </c>
      <c r="C3196" s="10" t="s">
        <v>29</v>
      </c>
      <c r="D3196" s="13">
        <v>33.37</v>
      </c>
      <c r="E3196" s="12">
        <v>1.8</v>
      </c>
      <c r="F3196" s="12"/>
      <c r="G3196" s="12"/>
    </row>
    <row r="3197" spans="2:7" ht="12.75">
      <c r="B3197" s="5">
        <v>5</v>
      </c>
      <c r="C3197" s="10" t="s">
        <v>13</v>
      </c>
      <c r="D3197" s="13">
        <f>D3195+D3196</f>
        <v>367.03000000000003</v>
      </c>
      <c r="E3197" s="13">
        <f>E3195+E3196</f>
        <v>20.049540561827254</v>
      </c>
      <c r="F3197" s="13">
        <f>F3195-F3181/1000</f>
        <v>-4.48756000000003</v>
      </c>
      <c r="G3197" s="13"/>
    </row>
    <row r="3198" spans="2:7" ht="12.75">
      <c r="B3198" s="5"/>
      <c r="C3198" s="10"/>
      <c r="D3198" s="13"/>
      <c r="E3198" s="13"/>
      <c r="F3198" s="13"/>
      <c r="G3198" s="13"/>
    </row>
    <row r="3199" spans="2:7" ht="12.75">
      <c r="B3199" s="11" t="s">
        <v>30</v>
      </c>
      <c r="C3199" s="11"/>
      <c r="D3199" s="37" t="s">
        <v>6</v>
      </c>
      <c r="E3199" s="13"/>
      <c r="F3199" s="13"/>
      <c r="G3199" s="13"/>
    </row>
    <row r="3200" spans="2:7" ht="12.75">
      <c r="B3200" s="25"/>
      <c r="C3200" s="34" t="s">
        <v>31</v>
      </c>
      <c r="D3200" s="9">
        <v>59930.81</v>
      </c>
      <c r="E3200" s="13"/>
      <c r="F3200" s="13"/>
      <c r="G3200" s="13"/>
    </row>
    <row r="3201" spans="2:7" ht="12.75">
      <c r="B3201" s="5"/>
      <c r="C3201" s="23" t="s">
        <v>32</v>
      </c>
      <c r="D3201" s="9">
        <v>51476.57</v>
      </c>
      <c r="E3201" s="13"/>
      <c r="F3201" s="13"/>
      <c r="G3201" s="13"/>
    </row>
    <row r="3202" spans="2:7" ht="12.75">
      <c r="B3202" s="5"/>
      <c r="C3202" s="36" t="s">
        <v>13</v>
      </c>
      <c r="D3202" s="13">
        <f>D3201-D3200</f>
        <v>-8454.239999999998</v>
      </c>
      <c r="E3202" s="13"/>
      <c r="F3202" s="13"/>
      <c r="G3202" s="13"/>
    </row>
    <row r="3203" spans="2:7" ht="12.75">
      <c r="B3203" s="5"/>
      <c r="C3203" s="34" t="s">
        <v>187</v>
      </c>
      <c r="D3203" s="9">
        <v>66395</v>
      </c>
      <c r="E3203" s="13"/>
      <c r="F3203" s="13"/>
      <c r="G3203" s="13"/>
    </row>
    <row r="3204" spans="2:7" ht="12.75">
      <c r="B3204" s="5"/>
      <c r="C3204" s="23" t="s">
        <v>34</v>
      </c>
      <c r="D3204" s="9">
        <v>57348.25</v>
      </c>
      <c r="E3204" s="13"/>
      <c r="F3204" s="13"/>
      <c r="G3204" s="13"/>
    </row>
    <row r="3205" spans="2:7" ht="12.75">
      <c r="B3205" s="5"/>
      <c r="C3205" s="36" t="s">
        <v>13</v>
      </c>
      <c r="D3205" s="13">
        <f>D3204-D3203</f>
        <v>-9046.75</v>
      </c>
      <c r="E3205" s="13"/>
      <c r="F3205" s="13"/>
      <c r="G3205" s="13"/>
    </row>
    <row r="3206" spans="2:7" ht="12.75">
      <c r="B3206" s="5"/>
      <c r="C3206" s="34" t="s">
        <v>42</v>
      </c>
      <c r="D3206" s="9">
        <v>30593.58</v>
      </c>
      <c r="E3206" s="13"/>
      <c r="F3206" s="13"/>
      <c r="G3206" s="13"/>
    </row>
    <row r="3207" spans="2:7" ht="12.75">
      <c r="B3207" s="5"/>
      <c r="C3207" s="23" t="s">
        <v>43</v>
      </c>
      <c r="D3207" s="9">
        <v>26340.56</v>
      </c>
      <c r="E3207" s="13"/>
      <c r="F3207" s="13"/>
      <c r="G3207" s="13"/>
    </row>
    <row r="3208" spans="2:7" ht="12.75">
      <c r="B3208" s="5"/>
      <c r="C3208" s="36" t="s">
        <v>13</v>
      </c>
      <c r="D3208" s="13">
        <f>D3207-D3206</f>
        <v>-4253.02</v>
      </c>
      <c r="E3208" s="13"/>
      <c r="F3208" s="13"/>
      <c r="G3208" s="13"/>
    </row>
    <row r="3209" spans="2:7" ht="12.75">
      <c r="B3209" s="5"/>
      <c r="C3209" s="57" t="s">
        <v>35</v>
      </c>
      <c r="D3209" s="37">
        <f>D3202+D3205+D3208</f>
        <v>-21754.01</v>
      </c>
      <c r="E3209" s="13"/>
      <c r="F3209" s="13"/>
      <c r="G3209" s="13"/>
    </row>
    <row r="3210" spans="2:7" ht="12.75">
      <c r="B3210" s="5"/>
      <c r="C3210" s="14" t="s">
        <v>44</v>
      </c>
      <c r="D3210" s="13"/>
      <c r="E3210" s="13"/>
      <c r="F3210" s="13">
        <v>17.26</v>
      </c>
      <c r="G3210" s="13"/>
    </row>
    <row r="3211" spans="2:7" ht="12.75">
      <c r="B3211" s="5"/>
      <c r="C3211" s="14" t="s">
        <v>127</v>
      </c>
      <c r="D3211" s="13"/>
      <c r="E3211" s="13"/>
      <c r="F3211" s="37">
        <v>438.2</v>
      </c>
      <c r="G3211" s="13"/>
    </row>
    <row r="3212" spans="2:7" ht="12.75">
      <c r="B3212" s="23" t="s">
        <v>39</v>
      </c>
      <c r="C3212" s="23"/>
      <c r="D3212" s="23"/>
      <c r="E3212" s="23"/>
      <c r="F3212" s="23"/>
      <c r="G3212" s="23"/>
    </row>
    <row r="3214" spans="2:7" ht="12.75">
      <c r="B3214" s="1" t="s">
        <v>0</v>
      </c>
      <c r="C3214" s="1"/>
      <c r="D3214" s="1"/>
      <c r="E3214" s="1"/>
      <c r="F3214" s="1"/>
      <c r="G3214" s="1"/>
    </row>
    <row r="3215" spans="2:7" ht="12.75">
      <c r="B3215" s="1" t="s">
        <v>51</v>
      </c>
      <c r="C3215" s="1"/>
      <c r="D3215" s="1"/>
      <c r="E3215" s="1"/>
      <c r="F3215" s="1"/>
      <c r="G3215" s="1"/>
    </row>
    <row r="3216" spans="2:7" ht="12.75">
      <c r="B3216" s="1" t="s">
        <v>192</v>
      </c>
      <c r="C3216" s="1"/>
      <c r="D3216" s="1"/>
      <c r="E3216" s="1"/>
      <c r="F3216" s="1"/>
      <c r="G3216" s="1"/>
    </row>
    <row r="3217" spans="2:7" ht="12.75" customHeight="1">
      <c r="B3217" s="2"/>
      <c r="C3217" s="2" t="s">
        <v>3</v>
      </c>
      <c r="D3217" s="3" t="s">
        <v>41</v>
      </c>
      <c r="E3217" s="3"/>
      <c r="F3217" s="4" t="s">
        <v>109</v>
      </c>
      <c r="G3217" s="4"/>
    </row>
    <row r="3218" spans="2:7" ht="12.75">
      <c r="B3218" s="2"/>
      <c r="C3218" s="2"/>
      <c r="D3218" s="3" t="s">
        <v>6</v>
      </c>
      <c r="E3218" s="3" t="s">
        <v>7</v>
      </c>
      <c r="F3218" s="3" t="s">
        <v>6</v>
      </c>
      <c r="G3218" s="3" t="s">
        <v>8</v>
      </c>
    </row>
    <row r="3219" spans="2:7" ht="12.75">
      <c r="B3219" s="5">
        <v>1</v>
      </c>
      <c r="C3219" s="6" t="s">
        <v>9</v>
      </c>
      <c r="D3219" s="13">
        <v>1526.5</v>
      </c>
      <c r="E3219" s="13"/>
      <c r="F3219" s="13">
        <v>1526.5</v>
      </c>
      <c r="G3219" s="13"/>
    </row>
    <row r="3220" spans="2:7" ht="12.75">
      <c r="B3220" s="5">
        <v>2</v>
      </c>
      <c r="C3220" s="7" t="s">
        <v>193</v>
      </c>
      <c r="D3220" s="8"/>
      <c r="E3220" s="8"/>
      <c r="F3220" s="8" t="s">
        <v>3</v>
      </c>
      <c r="G3220" s="8"/>
    </row>
    <row r="3221" spans="2:7" ht="12.75">
      <c r="B3221" s="5"/>
      <c r="C3221" s="34" t="s">
        <v>164</v>
      </c>
      <c r="D3221" s="9"/>
      <c r="E3221" s="9"/>
      <c r="F3221" s="9">
        <v>374461.92</v>
      </c>
      <c r="G3221" s="9"/>
    </row>
    <row r="3222" spans="2:7" ht="12.75">
      <c r="B3222" s="5"/>
      <c r="C3222" s="34" t="s">
        <v>173</v>
      </c>
      <c r="D3222" s="9"/>
      <c r="E3222" s="9"/>
      <c r="F3222" s="9">
        <v>352075.56</v>
      </c>
      <c r="G3222" s="9"/>
    </row>
    <row r="3223" spans="2:7" ht="12.75">
      <c r="B3223" s="5"/>
      <c r="C3223" s="2" t="s">
        <v>13</v>
      </c>
      <c r="D3223" s="9"/>
      <c r="E3223" s="9"/>
      <c r="F3223" s="9">
        <f>F3222-F3221</f>
        <v>-22386.359999999986</v>
      </c>
      <c r="G3223" s="9"/>
    </row>
    <row r="3224" spans="2:7" ht="12.75">
      <c r="B3224" s="5">
        <v>3</v>
      </c>
      <c r="C3224" s="10" t="s">
        <v>14</v>
      </c>
      <c r="D3224" s="1" t="s">
        <v>15</v>
      </c>
      <c r="E3224" s="1"/>
      <c r="F3224" s="1" t="s">
        <v>15</v>
      </c>
      <c r="G3224" s="1"/>
    </row>
    <row r="3225" spans="2:7" ht="12.75">
      <c r="B3225" s="11" t="s">
        <v>16</v>
      </c>
      <c r="C3225" s="11"/>
      <c r="D3225" s="13">
        <v>49.6</v>
      </c>
      <c r="E3225" s="13">
        <f>D3225/1526.5/12*1000</f>
        <v>2.7077191833169563</v>
      </c>
      <c r="F3225" s="13">
        <v>50.55</v>
      </c>
      <c r="G3225" s="13">
        <f>F3225/1526.5/12*1000</f>
        <v>2.7595807402554864</v>
      </c>
    </row>
    <row r="3226" spans="2:7" ht="12.75" customHeight="1">
      <c r="B3226" s="14" t="s">
        <v>17</v>
      </c>
      <c r="C3226" s="14"/>
      <c r="D3226" s="1">
        <f>D3227+D3228+D3229</f>
        <v>102.82</v>
      </c>
      <c r="E3226" s="13">
        <f>D3226/1526.5/12*1000</f>
        <v>5.613058194125997</v>
      </c>
      <c r="F3226" s="12">
        <f>F3227+F3228+F3229</f>
        <v>108.00999999999999</v>
      </c>
      <c r="G3226" s="13">
        <f>F3226/1526.5/12*1000</f>
        <v>5.896386068348073</v>
      </c>
    </row>
    <row r="3227" spans="2:7" ht="12.75">
      <c r="B3227" s="2"/>
      <c r="C3227" s="15" t="s">
        <v>18</v>
      </c>
      <c r="D3227" s="9">
        <v>79.74</v>
      </c>
      <c r="E3227" s="13">
        <f>D3227/1526.5/12*1000</f>
        <v>4.353095316082541</v>
      </c>
      <c r="F3227" s="9">
        <f>29.3+4.17+49.04</f>
        <v>82.50999999999999</v>
      </c>
      <c r="G3227" s="13">
        <f>F3227/1526.5/12*1000</f>
        <v>4.504312697892782</v>
      </c>
    </row>
    <row r="3228" spans="2:7" ht="12.75">
      <c r="B3228" s="2"/>
      <c r="C3228" s="15" t="s">
        <v>19</v>
      </c>
      <c r="D3228" s="18">
        <v>23.08</v>
      </c>
      <c r="E3228" s="13">
        <f>D3228/1526.5/12*1000</f>
        <v>1.2599628780434544</v>
      </c>
      <c r="F3228" s="18">
        <v>25.5</v>
      </c>
      <c r="G3228" s="13">
        <f>F3228/1526.5/12*1000</f>
        <v>1.3920733704552897</v>
      </c>
    </row>
    <row r="3229" spans="2:7" ht="12.75">
      <c r="B3229" s="32" t="s">
        <v>20</v>
      </c>
      <c r="C3229" s="32"/>
      <c r="D3229" s="18">
        <v>0</v>
      </c>
      <c r="E3229" s="13">
        <f>D3229/1526.5/12*1000</f>
        <v>0</v>
      </c>
      <c r="F3229" s="18">
        <v>0</v>
      </c>
      <c r="G3229" s="13">
        <f>F3229/1526.5/12*1000</f>
        <v>0</v>
      </c>
    </row>
    <row r="3230" spans="2:7" ht="12.75" customHeight="1">
      <c r="B3230" s="19" t="s">
        <v>21</v>
      </c>
      <c r="C3230" s="19"/>
      <c r="D3230" s="13">
        <f>D3231+D3233+D3232</f>
        <v>114.5</v>
      </c>
      <c r="E3230" s="13">
        <f>D3230/1526.5/12*1000</f>
        <v>6.250682388907086</v>
      </c>
      <c r="F3230" s="13">
        <f>F3231+F3233+F3232</f>
        <v>123.28999999999998</v>
      </c>
      <c r="G3230" s="13">
        <f>F3230/1526.5/12*1000</f>
        <v>6.730538268369909</v>
      </c>
    </row>
    <row r="3231" spans="2:7" ht="12.75">
      <c r="B3231" s="2"/>
      <c r="C3231" s="15" t="s">
        <v>22</v>
      </c>
      <c r="D3231" s="9">
        <v>96</v>
      </c>
      <c r="E3231" s="13">
        <f>D3231/1526.5/12*1000</f>
        <v>5.2407468064199145</v>
      </c>
      <c r="F3231" s="8">
        <f>68.45+20.88+3+9.23+1.24+9.52+4.25+0.16+1.07</f>
        <v>117.79999999999998</v>
      </c>
      <c r="G3231" s="13">
        <f>F3231/1526.5/12*1000</f>
        <v>6.430833060377769</v>
      </c>
    </row>
    <row r="3232" spans="2:7" ht="12.75">
      <c r="B3232" s="2"/>
      <c r="C3232" s="15" t="s">
        <v>23</v>
      </c>
      <c r="D3232" s="9">
        <v>17.04</v>
      </c>
      <c r="E3232" s="13">
        <f>D3232/1526.5/12*1000</f>
        <v>0.930232558139535</v>
      </c>
      <c r="F3232" s="9">
        <v>5.41</v>
      </c>
      <c r="G3232" s="13">
        <f>F3232/1526.5/12*1000</f>
        <v>0.29533791898678896</v>
      </c>
    </row>
    <row r="3233" spans="2:7" ht="12.75">
      <c r="B3233" s="2"/>
      <c r="C3233" s="20" t="s">
        <v>24</v>
      </c>
      <c r="D3233" s="9">
        <v>1.46</v>
      </c>
      <c r="E3233" s="13">
        <f>D3233/1526.5/12*1000</f>
        <v>0.07970302434763621</v>
      </c>
      <c r="F3233" s="9">
        <v>0.08</v>
      </c>
      <c r="G3233" s="58">
        <f>F3233/1526.5/12*1000</f>
        <v>0.004367289005349929</v>
      </c>
    </row>
    <row r="3234" spans="2:7" ht="12.75">
      <c r="B3234" s="11" t="s">
        <v>25</v>
      </c>
      <c r="C3234" s="11"/>
      <c r="D3234" s="13">
        <v>10.8</v>
      </c>
      <c r="E3234" s="13">
        <f>D3234/1526.5/12*1000</f>
        <v>0.5895840157222404</v>
      </c>
      <c r="F3234" s="13">
        <v>10.5</v>
      </c>
      <c r="G3234" s="13">
        <f>F3234/1526.5/12*1000</f>
        <v>0.5732066819521782</v>
      </c>
    </row>
    <row r="3235" spans="2:7" ht="12.75">
      <c r="B3235" s="21" t="s">
        <v>26</v>
      </c>
      <c r="C3235" s="21"/>
      <c r="D3235" s="13">
        <v>56.6</v>
      </c>
      <c r="E3235" s="13">
        <f>D3235/1526.5/12*1000</f>
        <v>3.089856971285075</v>
      </c>
      <c r="F3235" s="1">
        <f>10.26+47.08</f>
        <v>57.339999999999996</v>
      </c>
      <c r="G3235" s="13">
        <f>F3235/1526.5/12*1000</f>
        <v>3.1302543945845613</v>
      </c>
    </row>
    <row r="3236" spans="2:7" ht="12.75">
      <c r="B3236" s="21"/>
      <c r="C3236" s="22" t="s">
        <v>194</v>
      </c>
      <c r="D3236" s="13">
        <v>0</v>
      </c>
      <c r="E3236" s="13">
        <v>0</v>
      </c>
      <c r="F3236" s="13">
        <v>7.2</v>
      </c>
      <c r="G3236" s="13">
        <f>F3236/1526.5/8*1000</f>
        <v>0.5895840157222404</v>
      </c>
    </row>
    <row r="3237" spans="2:7" ht="12.75">
      <c r="B3237" s="2"/>
      <c r="C3237" s="10" t="s">
        <v>28</v>
      </c>
      <c r="D3237" s="12">
        <f>D3225+D3226+D3230+D3234+D3235</f>
        <v>334.32</v>
      </c>
      <c r="E3237" s="12">
        <f>E3225+E3226+E3230+E3234+E3235</f>
        <v>18.250900753357353</v>
      </c>
      <c r="F3237" s="12">
        <f>F3225+F3226+F3230+F3234+F3235+F3236</f>
        <v>356.88999999999993</v>
      </c>
      <c r="G3237" s="13">
        <f>G3225+G3226+G3230+G3234+G3235+G3236</f>
        <v>19.67955016923245</v>
      </c>
    </row>
    <row r="3238" spans="2:7" ht="12.75">
      <c r="B3238" s="2">
        <v>4</v>
      </c>
      <c r="C3238" s="10" t="s">
        <v>29</v>
      </c>
      <c r="D3238" s="13">
        <v>33.43</v>
      </c>
      <c r="E3238" s="12">
        <v>1.8</v>
      </c>
      <c r="F3238" s="12"/>
      <c r="G3238" s="12"/>
    </row>
    <row r="3239" spans="2:7" ht="12.75">
      <c r="B3239" s="5">
        <v>5</v>
      </c>
      <c r="C3239" s="10" t="s">
        <v>13</v>
      </c>
      <c r="D3239" s="13">
        <f>D3237+D3238</f>
        <v>367.75</v>
      </c>
      <c r="E3239" s="13">
        <f>E3237+E3238</f>
        <v>20.050900753357354</v>
      </c>
      <c r="F3239" s="13">
        <f>F3237-F3222/1000</f>
        <v>4.814439999999934</v>
      </c>
      <c r="G3239" s="13"/>
    </row>
    <row r="3240" spans="2:7" ht="12.75">
      <c r="B3240" s="5"/>
      <c r="C3240" s="10"/>
      <c r="D3240" s="13"/>
      <c r="E3240" s="13"/>
      <c r="F3240" s="13"/>
      <c r="G3240" s="13"/>
    </row>
    <row r="3241" spans="2:7" ht="12.75">
      <c r="B3241" s="11" t="s">
        <v>30</v>
      </c>
      <c r="C3241" s="11"/>
      <c r="D3241" s="37" t="s">
        <v>6</v>
      </c>
      <c r="E3241" s="13"/>
      <c r="F3241" s="13"/>
      <c r="G3241" s="13"/>
    </row>
    <row r="3242" spans="2:7" ht="12.75">
      <c r="B3242" s="25"/>
      <c r="C3242" s="34" t="s">
        <v>31</v>
      </c>
      <c r="D3242" s="9">
        <v>42905.12</v>
      </c>
      <c r="E3242" s="13"/>
      <c r="F3242" s="13"/>
      <c r="G3242" s="13"/>
    </row>
    <row r="3243" spans="2:7" ht="12.75">
      <c r="B3243" s="5"/>
      <c r="C3243" s="23" t="s">
        <v>32</v>
      </c>
      <c r="D3243" s="9">
        <v>35363.9</v>
      </c>
      <c r="E3243" s="13"/>
      <c r="F3243" s="13"/>
      <c r="G3243" s="13"/>
    </row>
    <row r="3244" spans="2:7" ht="12.75">
      <c r="B3244" s="5"/>
      <c r="C3244" s="36" t="s">
        <v>13</v>
      </c>
      <c r="D3244" s="13">
        <f>D3243-D3242</f>
        <v>-7541.220000000001</v>
      </c>
      <c r="E3244" s="13"/>
      <c r="F3244" s="13"/>
      <c r="G3244" s="13"/>
    </row>
    <row r="3245" spans="2:7" ht="12.75">
      <c r="B3245" s="5"/>
      <c r="C3245" s="34" t="s">
        <v>187</v>
      </c>
      <c r="D3245" s="9">
        <v>47514.72</v>
      </c>
      <c r="E3245" s="13"/>
      <c r="F3245" s="13"/>
      <c r="G3245" s="13"/>
    </row>
    <row r="3246" spans="2:7" ht="12.75">
      <c r="B3246" s="5"/>
      <c r="C3246" s="23" t="s">
        <v>34</v>
      </c>
      <c r="D3246" s="9">
        <v>39193.05</v>
      </c>
      <c r="E3246" s="13"/>
      <c r="F3246" s="13"/>
      <c r="G3246" s="13"/>
    </row>
    <row r="3247" spans="2:7" ht="12.75">
      <c r="B3247" s="5"/>
      <c r="C3247" s="36" t="s">
        <v>13</v>
      </c>
      <c r="D3247" s="13">
        <f>D3246-D3245</f>
        <v>-8321.669999999998</v>
      </c>
      <c r="E3247" s="13"/>
      <c r="F3247" s="13"/>
      <c r="G3247" s="13"/>
    </row>
    <row r="3248" spans="2:7" ht="12.75">
      <c r="B3248" s="5"/>
      <c r="C3248" s="34" t="s">
        <v>42</v>
      </c>
      <c r="D3248" s="9">
        <v>12336.59</v>
      </c>
      <c r="E3248" s="13"/>
      <c r="F3248" s="13"/>
      <c r="G3248" s="13"/>
    </row>
    <row r="3249" spans="2:7" ht="12.75">
      <c r="B3249" s="5"/>
      <c r="C3249" s="23" t="s">
        <v>43</v>
      </c>
      <c r="D3249" s="9">
        <v>8324.4</v>
      </c>
      <c r="E3249" s="13"/>
      <c r="F3249" s="13"/>
      <c r="G3249" s="13"/>
    </row>
    <row r="3250" spans="2:7" ht="12.75">
      <c r="B3250" s="5"/>
      <c r="C3250" s="36" t="s">
        <v>13</v>
      </c>
      <c r="D3250" s="13">
        <f>D3249-D3248</f>
        <v>-4012.1900000000005</v>
      </c>
      <c r="E3250" s="13"/>
      <c r="F3250" s="13"/>
      <c r="G3250" s="13"/>
    </row>
    <row r="3251" spans="2:7" ht="12.75">
      <c r="B3251" s="5"/>
      <c r="C3251" s="57" t="s">
        <v>35</v>
      </c>
      <c r="D3251" s="37">
        <f>D3244+D3247+D3250</f>
        <v>-19875.08</v>
      </c>
      <c r="E3251" s="13"/>
      <c r="F3251" s="13"/>
      <c r="G3251" s="13"/>
    </row>
    <row r="3252" spans="2:7" ht="12.75">
      <c r="B3252" s="5"/>
      <c r="C3252" s="14" t="s">
        <v>58</v>
      </c>
      <c r="D3252" s="13"/>
      <c r="E3252" s="13"/>
      <c r="F3252" s="13">
        <v>24.7</v>
      </c>
      <c r="G3252" s="13"/>
    </row>
    <row r="3253" spans="2:7" ht="12.75">
      <c r="B3253" s="5"/>
      <c r="C3253" s="14"/>
      <c r="D3253" s="13"/>
      <c r="E3253" s="13"/>
      <c r="F3253" s="13"/>
      <c r="G3253" s="13"/>
    </row>
    <row r="3254" spans="2:7" ht="12.75">
      <c r="B3254" s="5"/>
      <c r="C3254" s="14" t="s">
        <v>127</v>
      </c>
      <c r="D3254" s="13"/>
      <c r="E3254" s="13"/>
      <c r="F3254" s="37">
        <v>305.8</v>
      </c>
      <c r="G3254" s="13"/>
    </row>
    <row r="3255" spans="2:7" ht="12.75">
      <c r="B3255" s="23" t="s">
        <v>39</v>
      </c>
      <c r="C3255" s="23"/>
      <c r="D3255" s="23"/>
      <c r="E3255" s="23"/>
      <c r="F3255" s="23"/>
      <c r="G3255" s="23"/>
    </row>
    <row r="3257" spans="2:7" ht="12.75">
      <c r="B3257" s="1" t="s">
        <v>0</v>
      </c>
      <c r="C3257" s="1"/>
      <c r="D3257" s="1"/>
      <c r="E3257" s="1"/>
      <c r="F3257" s="1"/>
      <c r="G3257" s="1"/>
    </row>
    <row r="3258" spans="2:7" ht="12.75">
      <c r="B3258" s="1" t="s">
        <v>51</v>
      </c>
      <c r="C3258" s="1"/>
      <c r="D3258" s="1"/>
      <c r="E3258" s="1"/>
      <c r="F3258" s="1"/>
      <c r="G3258" s="1"/>
    </row>
    <row r="3259" spans="2:7" ht="12.75">
      <c r="B3259" s="1" t="s">
        <v>195</v>
      </c>
      <c r="C3259" s="1"/>
      <c r="D3259" s="1"/>
      <c r="E3259" s="1"/>
      <c r="F3259" s="1"/>
      <c r="G3259" s="1"/>
    </row>
    <row r="3260" spans="2:7" ht="12.75" customHeight="1">
      <c r="B3260" s="2"/>
      <c r="C3260" s="2" t="s">
        <v>3</v>
      </c>
      <c r="D3260" s="3" t="s">
        <v>41</v>
      </c>
      <c r="E3260" s="3"/>
      <c r="F3260" s="4" t="s">
        <v>109</v>
      </c>
      <c r="G3260" s="4"/>
    </row>
    <row r="3261" spans="2:7" ht="12.75">
      <c r="B3261" s="2"/>
      <c r="C3261" s="2"/>
      <c r="D3261" s="3" t="s">
        <v>6</v>
      </c>
      <c r="E3261" s="3" t="s">
        <v>7</v>
      </c>
      <c r="F3261" s="3" t="s">
        <v>6</v>
      </c>
      <c r="G3261" s="3" t="s">
        <v>8</v>
      </c>
    </row>
    <row r="3262" spans="2:7" ht="12.75">
      <c r="B3262" s="5">
        <v>1</v>
      </c>
      <c r="C3262" s="6" t="s">
        <v>9</v>
      </c>
      <c r="D3262" s="13">
        <v>1481.3</v>
      </c>
      <c r="E3262" s="13"/>
      <c r="F3262" s="13">
        <v>1481.3</v>
      </c>
      <c r="G3262" s="13"/>
    </row>
    <row r="3263" spans="2:7" ht="12.75">
      <c r="B3263" s="5">
        <v>2</v>
      </c>
      <c r="C3263" s="7" t="s">
        <v>55</v>
      </c>
      <c r="D3263" s="8"/>
      <c r="E3263" s="8"/>
      <c r="F3263" s="8" t="s">
        <v>3</v>
      </c>
      <c r="G3263" s="8"/>
    </row>
    <row r="3264" spans="2:7" ht="12.75">
      <c r="B3264" s="5"/>
      <c r="C3264" s="34" t="s">
        <v>154</v>
      </c>
      <c r="D3264" s="9"/>
      <c r="E3264" s="9"/>
      <c r="F3264" s="9">
        <v>356273.05</v>
      </c>
      <c r="G3264" s="9"/>
    </row>
    <row r="3265" spans="2:7" ht="12.75">
      <c r="B3265" s="5"/>
      <c r="C3265" s="34" t="s">
        <v>179</v>
      </c>
      <c r="D3265" s="9"/>
      <c r="E3265" s="9"/>
      <c r="F3265" s="9">
        <v>357910.46</v>
      </c>
      <c r="G3265" s="9"/>
    </row>
    <row r="3266" spans="2:7" ht="12.75">
      <c r="B3266" s="5"/>
      <c r="C3266" s="2" t="s">
        <v>13</v>
      </c>
      <c r="D3266" s="9"/>
      <c r="E3266" s="9"/>
      <c r="F3266" s="9">
        <f>F3265-F3264</f>
        <v>1637.4100000000326</v>
      </c>
      <c r="G3266" s="9"/>
    </row>
    <row r="3267" spans="2:7" ht="12.75">
      <c r="B3267" s="5">
        <v>3</v>
      </c>
      <c r="C3267" s="10" t="s">
        <v>14</v>
      </c>
      <c r="D3267" s="1" t="s">
        <v>15</v>
      </c>
      <c r="E3267" s="1"/>
      <c r="F3267" s="1" t="s">
        <v>15</v>
      </c>
      <c r="G3267" s="1"/>
    </row>
    <row r="3268" spans="2:7" ht="12.75">
      <c r="B3268" s="11" t="s">
        <v>16</v>
      </c>
      <c r="C3268" s="11"/>
      <c r="D3268" s="13">
        <v>48.17</v>
      </c>
      <c r="E3268" s="13">
        <f>D3268/1481.3/12*1000</f>
        <v>2.709894462071604</v>
      </c>
      <c r="F3268" s="13">
        <v>48.1</v>
      </c>
      <c r="G3268" s="13">
        <f>F3268/1481.3/12*1000</f>
        <v>2.70595647966876</v>
      </c>
    </row>
    <row r="3269" spans="2:7" ht="12.75" customHeight="1">
      <c r="B3269" s="14" t="s">
        <v>17</v>
      </c>
      <c r="C3269" s="14"/>
      <c r="D3269" s="1">
        <f>D3270+D3271+D3272</f>
        <v>99.75999999999999</v>
      </c>
      <c r="E3269" s="13">
        <f>D3269/1481.3/12*1000</f>
        <v>5.612187492967889</v>
      </c>
      <c r="F3269" s="12">
        <f>F3270+F3271+F3272</f>
        <v>185.84</v>
      </c>
      <c r="G3269" s="13">
        <f>F3269/1481.3/12*1000</f>
        <v>10.454780710637053</v>
      </c>
    </row>
    <row r="3270" spans="2:7" ht="12.75">
      <c r="B3270" s="2"/>
      <c r="C3270" s="15" t="s">
        <v>18</v>
      </c>
      <c r="D3270" s="9">
        <v>77.36</v>
      </c>
      <c r="E3270" s="13">
        <f>D3270/1481.3/12*1000</f>
        <v>4.352033124057697</v>
      </c>
      <c r="F3270" s="9">
        <f>28.43+8.04+47.57</f>
        <v>84.03999999999999</v>
      </c>
      <c r="G3270" s="13">
        <f>F3270/1481.3/12*1000</f>
        <v>4.727829159071986</v>
      </c>
    </row>
    <row r="3271" spans="2:7" ht="12.75">
      <c r="B3271" s="2"/>
      <c r="C3271" s="15" t="s">
        <v>19</v>
      </c>
      <c r="D3271" s="18">
        <v>22.4</v>
      </c>
      <c r="E3271" s="13">
        <f>D3271/1481.3/12*1000</f>
        <v>1.2601543689101915</v>
      </c>
      <c r="F3271" s="18">
        <v>100.4</v>
      </c>
      <c r="G3271" s="13">
        <f>F3271/1481.3/12*1000</f>
        <v>5.648191903508181</v>
      </c>
    </row>
    <row r="3272" spans="2:7" ht="12.75">
      <c r="B3272" s="32" t="s">
        <v>20</v>
      </c>
      <c r="C3272" s="32"/>
      <c r="D3272" s="18">
        <v>0</v>
      </c>
      <c r="E3272" s="13">
        <f>D3272/1481.3/12*1000</f>
        <v>0</v>
      </c>
      <c r="F3272" s="18">
        <v>1.4</v>
      </c>
      <c r="G3272" s="13">
        <f>F3272/1481.3/12*1000</f>
        <v>0.07875964805688697</v>
      </c>
    </row>
    <row r="3273" spans="2:7" ht="12.75" customHeight="1">
      <c r="B3273" s="19" t="s">
        <v>21</v>
      </c>
      <c r="C3273" s="19"/>
      <c r="D3273" s="13">
        <f>D3274+D3276+D3275</f>
        <v>111.09</v>
      </c>
      <c r="E3273" s="13">
        <f>D3273/1481.3/12*1000</f>
        <v>6.249578073313981</v>
      </c>
      <c r="F3273" s="13">
        <f>F3274+F3276+F3275</f>
        <v>112.65000000000002</v>
      </c>
      <c r="G3273" s="13">
        <f>F3273/1481.3/12*1000</f>
        <v>6.3373388240059425</v>
      </c>
    </row>
    <row r="3274" spans="2:7" ht="12.75">
      <c r="B3274" s="2"/>
      <c r="C3274" s="15" t="s">
        <v>22</v>
      </c>
      <c r="D3274" s="9">
        <v>93.14</v>
      </c>
      <c r="E3274" s="13">
        <f>D3274/1481.3/12*1000</f>
        <v>5.239766871441752</v>
      </c>
      <c r="F3274" s="8">
        <f>66.4+20.25+2.9+8.95+1.2+0.55+2.08+4.33+0.15+1.04</f>
        <v>107.85000000000002</v>
      </c>
      <c r="G3274" s="13">
        <f>F3274/1481.3/12*1000</f>
        <v>6.0673057449537575</v>
      </c>
    </row>
    <row r="3275" spans="2:7" ht="12.75">
      <c r="B3275" s="2"/>
      <c r="C3275" s="15" t="s">
        <v>23</v>
      </c>
      <c r="D3275" s="9">
        <v>16.53</v>
      </c>
      <c r="E3275" s="13">
        <f>D3275/1481.3/12*1000</f>
        <v>0.9299264159859585</v>
      </c>
      <c r="F3275" s="9">
        <v>4.72</v>
      </c>
      <c r="G3275" s="13">
        <f>F3275/1481.3/12*1000</f>
        <v>0.2655325277346475</v>
      </c>
    </row>
    <row r="3276" spans="2:7" ht="12.75">
      <c r="B3276" s="2"/>
      <c r="C3276" s="20" t="s">
        <v>24</v>
      </c>
      <c r="D3276" s="9">
        <v>1.42</v>
      </c>
      <c r="E3276" s="13">
        <f>D3276/1481.3/12*1000</f>
        <v>0.07988478588627107</v>
      </c>
      <c r="F3276" s="9">
        <v>0.08</v>
      </c>
      <c r="G3276" s="13">
        <f>F3276/1481.3/12*1000</f>
        <v>0.004500551317536398</v>
      </c>
    </row>
    <row r="3277" spans="2:7" ht="12.75">
      <c r="B3277" s="11" t="s">
        <v>25</v>
      </c>
      <c r="C3277" s="11"/>
      <c r="D3277" s="13">
        <v>10.5</v>
      </c>
      <c r="E3277" s="13">
        <f>D3277/1481.3/12*1000</f>
        <v>0.5906973604266522</v>
      </c>
      <c r="F3277" s="13">
        <v>10.66</v>
      </c>
      <c r="G3277" s="13">
        <f>F3277/1481.3/12*1000</f>
        <v>0.5996984630617251</v>
      </c>
    </row>
    <row r="3278" spans="2:7" ht="12.75">
      <c r="B3278" s="21" t="s">
        <v>26</v>
      </c>
      <c r="C3278" s="21"/>
      <c r="D3278" s="13">
        <v>54.92</v>
      </c>
      <c r="E3278" s="13">
        <f>D3278/1481.3/12*1000</f>
        <v>3.0896284794887374</v>
      </c>
      <c r="F3278" s="1">
        <f>9.95+45.67</f>
        <v>55.620000000000005</v>
      </c>
      <c r="G3278" s="13">
        <f>F3278/1481.3/12*1000</f>
        <v>3.129008303517181</v>
      </c>
    </row>
    <row r="3279" spans="2:7" ht="12.75">
      <c r="B3279" s="2"/>
      <c r="C3279" s="10" t="s">
        <v>28</v>
      </c>
      <c r="D3279" s="12">
        <f>D3268+D3269+D3273+D3277+D3278</f>
        <v>324.44</v>
      </c>
      <c r="E3279" s="12">
        <f>E3268+E3269+E3273+E3277+E3278</f>
        <v>18.251985868268864</v>
      </c>
      <c r="F3279" s="12">
        <f>F3268+F3269+F3273+F3277+F3278</f>
        <v>412.87000000000006</v>
      </c>
      <c r="G3279" s="13">
        <f>G3268+G3269+G3273+G3277+G3278</f>
        <v>23.226782780890662</v>
      </c>
    </row>
    <row r="3280" spans="2:7" ht="12.75">
      <c r="B3280" s="2">
        <v>4</v>
      </c>
      <c r="C3280" s="10" t="s">
        <v>29</v>
      </c>
      <c r="D3280" s="13">
        <v>32.44</v>
      </c>
      <c r="E3280" s="13">
        <v>1.8</v>
      </c>
      <c r="F3280" s="12"/>
      <c r="G3280" s="12"/>
    </row>
    <row r="3281" spans="2:7" ht="12.75">
      <c r="B3281" s="5">
        <v>5</v>
      </c>
      <c r="C3281" s="10" t="s">
        <v>13</v>
      </c>
      <c r="D3281" s="13">
        <f>D3279+D3280</f>
        <v>356.88</v>
      </c>
      <c r="E3281" s="13">
        <f>E3279+E3280</f>
        <v>20.051985868268865</v>
      </c>
      <c r="F3281" s="13">
        <f>F3279-F3265/1000</f>
        <v>54.95954000000006</v>
      </c>
      <c r="G3281" s="13"/>
    </row>
    <row r="3282" spans="2:7" ht="12.75">
      <c r="B3282" s="5"/>
      <c r="C3282" s="10"/>
      <c r="D3282" s="13"/>
      <c r="E3282" s="13"/>
      <c r="F3282" s="13"/>
      <c r="G3282" s="13"/>
    </row>
    <row r="3283" spans="2:7" ht="12.75">
      <c r="B3283" s="11" t="s">
        <v>30</v>
      </c>
      <c r="C3283" s="11"/>
      <c r="D3283" s="37" t="s">
        <v>6</v>
      </c>
      <c r="E3283" s="13"/>
      <c r="F3283" s="13"/>
      <c r="G3283" s="13"/>
    </row>
    <row r="3284" spans="2:7" ht="12.75">
      <c r="B3284" s="25"/>
      <c r="C3284" s="34" t="s">
        <v>31</v>
      </c>
      <c r="D3284" s="9">
        <v>27054.2</v>
      </c>
      <c r="E3284" s="13"/>
      <c r="F3284" s="13"/>
      <c r="G3284" s="13"/>
    </row>
    <row r="3285" spans="2:7" ht="12.75">
      <c r="B3285" s="5"/>
      <c r="C3285" s="23" t="s">
        <v>32</v>
      </c>
      <c r="D3285" s="9">
        <v>22486.88</v>
      </c>
      <c r="E3285" s="13"/>
      <c r="F3285" s="13"/>
      <c r="G3285" s="13"/>
    </row>
    <row r="3286" spans="2:7" ht="12.75">
      <c r="B3286" s="5"/>
      <c r="C3286" s="36" t="s">
        <v>13</v>
      </c>
      <c r="D3286" s="13">
        <f>D3285-D3284</f>
        <v>-4567.32</v>
      </c>
      <c r="E3286" s="13"/>
      <c r="F3286" s="13"/>
      <c r="G3286" s="13"/>
    </row>
    <row r="3287" spans="2:7" ht="12.75">
      <c r="B3287" s="5"/>
      <c r="C3287" s="34" t="s">
        <v>187</v>
      </c>
      <c r="D3287" s="9">
        <v>29912.27</v>
      </c>
      <c r="E3287" s="13"/>
      <c r="F3287" s="13"/>
      <c r="G3287" s="13"/>
    </row>
    <row r="3288" spans="2:7" ht="12.75">
      <c r="B3288" s="5"/>
      <c r="C3288" s="23" t="s">
        <v>34</v>
      </c>
      <c r="D3288" s="9">
        <v>23443.38</v>
      </c>
      <c r="E3288" s="13"/>
      <c r="F3288" s="13"/>
      <c r="G3288" s="13"/>
    </row>
    <row r="3289" spans="2:7" ht="12.75">
      <c r="B3289" s="5"/>
      <c r="C3289" s="36" t="s">
        <v>13</v>
      </c>
      <c r="D3289" s="13">
        <f>D3288-D3287</f>
        <v>-6468.889999999999</v>
      </c>
      <c r="E3289" s="13"/>
      <c r="F3289" s="13"/>
      <c r="G3289" s="13"/>
    </row>
    <row r="3290" spans="2:7" ht="12.75">
      <c r="B3290" s="5"/>
      <c r="C3290" s="34" t="s">
        <v>42</v>
      </c>
      <c r="D3290" s="9">
        <v>16836.96</v>
      </c>
      <c r="E3290" s="13"/>
      <c r="F3290" s="13"/>
      <c r="G3290" s="13"/>
    </row>
    <row r="3291" spans="2:7" ht="12.75">
      <c r="B3291" s="5"/>
      <c r="C3291" s="23" t="s">
        <v>43</v>
      </c>
      <c r="D3291" s="9">
        <v>12341.17</v>
      </c>
      <c r="E3291" s="13"/>
      <c r="F3291" s="13"/>
      <c r="G3291" s="13"/>
    </row>
    <row r="3292" spans="2:7" ht="12.75">
      <c r="B3292" s="5"/>
      <c r="C3292" s="36" t="s">
        <v>13</v>
      </c>
      <c r="D3292" s="13">
        <f>D3291-D3290</f>
        <v>-4495.789999999999</v>
      </c>
      <c r="E3292" s="13"/>
      <c r="F3292" s="13"/>
      <c r="G3292" s="13"/>
    </row>
    <row r="3293" spans="2:7" ht="12.75">
      <c r="B3293" s="5"/>
      <c r="C3293" s="57" t="s">
        <v>35</v>
      </c>
      <c r="D3293" s="37">
        <f>D3286+D3289+D3292</f>
        <v>-15531.999999999998</v>
      </c>
      <c r="E3293" s="13"/>
      <c r="F3293" s="13"/>
      <c r="G3293" s="13"/>
    </row>
    <row r="3294" spans="2:7" ht="12.75">
      <c r="B3294" s="5"/>
      <c r="C3294" s="14" t="s">
        <v>58</v>
      </c>
      <c r="D3294" s="13"/>
      <c r="E3294" s="13"/>
      <c r="F3294" s="13">
        <v>70.5</v>
      </c>
      <c r="G3294" s="13"/>
    </row>
    <row r="3295" spans="2:7" ht="12.75">
      <c r="B3295" s="5"/>
      <c r="C3295" s="14"/>
      <c r="D3295" s="13"/>
      <c r="E3295" s="13"/>
      <c r="F3295" s="13"/>
      <c r="G3295" s="13"/>
    </row>
    <row r="3296" spans="2:7" ht="12.75">
      <c r="B3296" s="5"/>
      <c r="C3296" s="14" t="s">
        <v>127</v>
      </c>
      <c r="D3296" s="13"/>
      <c r="E3296" s="13"/>
      <c r="F3296" s="37">
        <v>383.3</v>
      </c>
      <c r="G3296" s="13"/>
    </row>
    <row r="3297" spans="2:7" ht="12.75">
      <c r="B3297" s="23" t="s">
        <v>39</v>
      </c>
      <c r="C3297" s="23"/>
      <c r="D3297" s="23"/>
      <c r="E3297" s="23"/>
      <c r="F3297" s="23"/>
      <c r="G3297" s="23"/>
    </row>
    <row r="3298" spans="2:4" ht="12.75">
      <c r="B3298" s="40"/>
      <c r="C3298" s="40"/>
      <c r="D3298" s="38"/>
    </row>
    <row r="3299" spans="2:4" ht="12.75">
      <c r="B3299" s="51"/>
      <c r="C3299" s="51"/>
      <c r="D3299" s="30"/>
    </row>
    <row r="3300" spans="2:7" ht="12.75">
      <c r="B3300" s="1" t="s">
        <v>0</v>
      </c>
      <c r="C3300" s="1"/>
      <c r="D3300" s="1"/>
      <c r="E3300" s="1"/>
      <c r="F3300" s="1"/>
      <c r="G3300" s="1"/>
    </row>
    <row r="3301" spans="2:7" ht="12.75">
      <c r="B3301" s="1" t="s">
        <v>51</v>
      </c>
      <c r="C3301" s="1"/>
      <c r="D3301" s="1"/>
      <c r="E3301" s="1"/>
      <c r="F3301" s="1"/>
      <c r="G3301" s="1"/>
    </row>
    <row r="3302" spans="2:7" ht="12.75">
      <c r="B3302" s="1" t="s">
        <v>196</v>
      </c>
      <c r="C3302" s="1"/>
      <c r="D3302" s="1"/>
      <c r="E3302" s="1"/>
      <c r="F3302" s="1"/>
      <c r="G3302" s="1"/>
    </row>
    <row r="3303" spans="2:7" ht="12.75" customHeight="1">
      <c r="B3303" s="2"/>
      <c r="C3303" s="2" t="s">
        <v>3</v>
      </c>
      <c r="D3303" s="3" t="s">
        <v>41</v>
      </c>
      <c r="E3303" s="3"/>
      <c r="F3303" s="4" t="s">
        <v>109</v>
      </c>
      <c r="G3303" s="4"/>
    </row>
    <row r="3304" spans="2:7" ht="12.75">
      <c r="B3304" s="2"/>
      <c r="C3304" s="2"/>
      <c r="D3304" s="3" t="s">
        <v>6</v>
      </c>
      <c r="E3304" s="3" t="s">
        <v>7</v>
      </c>
      <c r="F3304" s="3" t="s">
        <v>6</v>
      </c>
      <c r="G3304" s="3" t="s">
        <v>8</v>
      </c>
    </row>
    <row r="3305" spans="2:7" ht="12.75">
      <c r="B3305" s="5">
        <v>1</v>
      </c>
      <c r="C3305" s="6" t="s">
        <v>9</v>
      </c>
      <c r="D3305" s="13">
        <v>2220.7</v>
      </c>
      <c r="E3305" s="13"/>
      <c r="F3305" s="13">
        <v>2220.7</v>
      </c>
      <c r="G3305" s="13"/>
    </row>
    <row r="3306" spans="2:7" ht="12.75">
      <c r="B3306" s="5">
        <v>2</v>
      </c>
      <c r="C3306" s="7" t="s">
        <v>197</v>
      </c>
      <c r="D3306" s="8"/>
      <c r="E3306" s="8"/>
      <c r="F3306" s="8" t="s">
        <v>3</v>
      </c>
      <c r="G3306" s="8"/>
    </row>
    <row r="3307" spans="2:7" ht="12.75">
      <c r="B3307" s="5"/>
      <c r="C3307" s="2" t="s">
        <v>49</v>
      </c>
      <c r="D3307" s="9"/>
      <c r="E3307" s="9"/>
      <c r="F3307" s="9">
        <v>555619.14</v>
      </c>
      <c r="G3307" s="9"/>
    </row>
    <row r="3308" spans="2:7" ht="12.75">
      <c r="B3308" s="5"/>
      <c r="C3308" s="2" t="s">
        <v>50</v>
      </c>
      <c r="D3308" s="9"/>
      <c r="E3308" s="9"/>
      <c r="F3308" s="9">
        <v>558584.89</v>
      </c>
      <c r="G3308" s="9"/>
    </row>
    <row r="3309" spans="2:7" ht="12.75">
      <c r="B3309" s="5"/>
      <c r="C3309" s="2" t="s">
        <v>13</v>
      </c>
      <c r="D3309" s="9"/>
      <c r="E3309" s="9"/>
      <c r="F3309" s="9">
        <f>F3308-F3307</f>
        <v>2965.75</v>
      </c>
      <c r="G3309" s="9"/>
    </row>
    <row r="3310" spans="2:7" ht="12.75">
      <c r="B3310" s="5">
        <v>3</v>
      </c>
      <c r="C3310" s="10" t="s">
        <v>14</v>
      </c>
      <c r="D3310" s="1" t="s">
        <v>15</v>
      </c>
      <c r="E3310" s="1"/>
      <c r="F3310" s="1" t="s">
        <v>15</v>
      </c>
      <c r="G3310" s="1"/>
    </row>
    <row r="3311" spans="2:7" ht="12.75">
      <c r="B3311" s="11" t="s">
        <v>16</v>
      </c>
      <c r="C3311" s="11"/>
      <c r="D3311" s="13">
        <v>72.2</v>
      </c>
      <c r="E3311" s="13">
        <f>D3311/2220.7/12*1000</f>
        <v>2.709355908797527</v>
      </c>
      <c r="F3311" s="13">
        <v>75</v>
      </c>
      <c r="G3311" s="13">
        <f>F3311/2220.7/12*1000</f>
        <v>2.814427883099924</v>
      </c>
    </row>
    <row r="3312" spans="2:7" ht="12.75" customHeight="1">
      <c r="B3312" s="14" t="s">
        <v>17</v>
      </c>
      <c r="C3312" s="14"/>
      <c r="D3312" s="1">
        <f>D3313+D3314+D3315</f>
        <v>149.56</v>
      </c>
      <c r="E3312" s="13">
        <f>D3312/2220.7/12*1000</f>
        <v>5.612344455952327</v>
      </c>
      <c r="F3312" s="12">
        <f>F3313+F3314+F3315</f>
        <v>146.3</v>
      </c>
      <c r="G3312" s="13">
        <f>F3312/2220.7/12*1000</f>
        <v>5.490010657300251</v>
      </c>
    </row>
    <row r="3313" spans="2:7" ht="12.75">
      <c r="B3313" s="2"/>
      <c r="C3313" s="15" t="s">
        <v>18</v>
      </c>
      <c r="D3313" s="9">
        <v>115.98</v>
      </c>
      <c r="E3313" s="13">
        <f>D3313/2220.7/12*1000</f>
        <v>4.352231278425722</v>
      </c>
      <c r="F3313" s="9">
        <v>116</v>
      </c>
      <c r="G3313" s="13">
        <f>F3313/2220.7/12*1000</f>
        <v>4.352981792527881</v>
      </c>
    </row>
    <row r="3314" spans="2:7" ht="12.75">
      <c r="B3314" s="2"/>
      <c r="C3314" s="15" t="s">
        <v>19</v>
      </c>
      <c r="D3314" s="18">
        <v>33.58</v>
      </c>
      <c r="E3314" s="13">
        <f>D3314/2220.7/12*1000</f>
        <v>1.260113177526606</v>
      </c>
      <c r="F3314" s="18">
        <v>30.3</v>
      </c>
      <c r="G3314" s="13">
        <f>F3314/2220.7/12*1000</f>
        <v>1.1370288647723692</v>
      </c>
    </row>
    <row r="3315" spans="2:7" ht="12.75">
      <c r="B3315" s="32" t="s">
        <v>20</v>
      </c>
      <c r="C3315" s="32"/>
      <c r="D3315" s="18">
        <v>0</v>
      </c>
      <c r="E3315" s="13">
        <f>D3315/2220.7/12*1000</f>
        <v>0</v>
      </c>
      <c r="F3315" s="18">
        <v>0</v>
      </c>
      <c r="G3315" s="13">
        <f>F3315/2220.7/12*1000</f>
        <v>0</v>
      </c>
    </row>
    <row r="3316" spans="2:7" ht="12.75" customHeight="1">
      <c r="B3316" s="19" t="s">
        <v>21</v>
      </c>
      <c r="C3316" s="19"/>
      <c r="D3316" s="13">
        <f>D3317+D3319+D3318</f>
        <v>166.57999999999998</v>
      </c>
      <c r="E3316" s="13">
        <f>D3316/2220.7/12*1000</f>
        <v>6.25103195689047</v>
      </c>
      <c r="F3316" s="13">
        <f>F3317+F3319+F3318</f>
        <v>180.92000000000002</v>
      </c>
      <c r="G3316" s="13">
        <f>F3316/2220.7/12*1000</f>
        <v>6.789150568139176</v>
      </c>
    </row>
    <row r="3317" spans="2:7" ht="12.75">
      <c r="B3317" s="2"/>
      <c r="C3317" s="15" t="s">
        <v>22</v>
      </c>
      <c r="D3317" s="9">
        <v>139.64</v>
      </c>
      <c r="E3317" s="13">
        <f>D3317/2220.7/12*1000</f>
        <v>5.240089461280978</v>
      </c>
      <c r="F3317" s="8">
        <f>99.58+30.37+4.36+13.43+1.8+2.8+23.64</f>
        <v>175.98000000000002</v>
      </c>
      <c r="G3317" s="13">
        <f>F3317/2220.7/12*1000</f>
        <v>6.603773584905661</v>
      </c>
    </row>
    <row r="3318" spans="2:7" ht="12.75">
      <c r="B3318" s="2"/>
      <c r="C3318" s="15" t="s">
        <v>23</v>
      </c>
      <c r="D3318" s="9">
        <v>24.8</v>
      </c>
      <c r="E3318" s="13">
        <f>D3318/2220.7/12*1000</f>
        <v>0.9306374866783748</v>
      </c>
      <c r="F3318" s="9">
        <v>2.44</v>
      </c>
      <c r="G3318" s="13">
        <f>F3318/2220.7/12*1000</f>
        <v>0.09156272046351752</v>
      </c>
    </row>
    <row r="3319" spans="2:7" ht="12.75">
      <c r="B3319" s="2"/>
      <c r="C3319" s="20" t="s">
        <v>24</v>
      </c>
      <c r="D3319" s="9">
        <v>2.14</v>
      </c>
      <c r="E3319" s="13">
        <f>D3319/2220.7/12*1000</f>
        <v>0.08030500893111782</v>
      </c>
      <c r="F3319" s="9">
        <v>2.5</v>
      </c>
      <c r="G3319" s="13">
        <f>F3319/2220.7/12*1000</f>
        <v>0.09381426276999746</v>
      </c>
    </row>
    <row r="3320" spans="2:7" ht="12.75">
      <c r="B3320" s="11" t="s">
        <v>25</v>
      </c>
      <c r="C3320" s="11"/>
      <c r="D3320" s="13">
        <v>15.72</v>
      </c>
      <c r="E3320" s="13">
        <f>D3320/2220.7/12*1000</f>
        <v>0.5899040842977441</v>
      </c>
      <c r="F3320" s="13">
        <v>16.7</v>
      </c>
      <c r="G3320" s="13">
        <f>F3320/2220.7/12*1000</f>
        <v>0.626679275303583</v>
      </c>
    </row>
    <row r="3321" spans="2:7" ht="12.75">
      <c r="B3321" s="21" t="s">
        <v>26</v>
      </c>
      <c r="C3321" s="21"/>
      <c r="D3321" s="13">
        <v>82.34</v>
      </c>
      <c r="E3321" s="13">
        <f>D3321/2220.7/12*1000</f>
        <v>3.0898665585926364</v>
      </c>
      <c r="F3321" s="1">
        <f>14.9+68.49</f>
        <v>83.39</v>
      </c>
      <c r="G3321" s="13">
        <f>F3321/2220.7/12*1000</f>
        <v>3.129268548956035</v>
      </c>
    </row>
    <row r="3322" spans="2:7" ht="12.75">
      <c r="B3322" s="21"/>
      <c r="C3322" s="22" t="s">
        <v>27</v>
      </c>
      <c r="D3322" s="13">
        <v>0</v>
      </c>
      <c r="E3322" s="13">
        <v>0</v>
      </c>
      <c r="F3322" s="1">
        <v>21.32</v>
      </c>
      <c r="G3322" s="13">
        <f>F3322/2220.7/12*1000</f>
        <v>0.8000480329025382</v>
      </c>
    </row>
    <row r="3323" spans="2:7" ht="12.75">
      <c r="B3323" s="2"/>
      <c r="C3323" s="10" t="s">
        <v>28</v>
      </c>
      <c r="D3323" s="12">
        <f>D3311+D3312+D3316+D3320+D3321</f>
        <v>486.4</v>
      </c>
      <c r="E3323" s="12">
        <f>E3311+E3312+E3316+E3320+E3321</f>
        <v>18.252502964530706</v>
      </c>
      <c r="F3323" s="13">
        <f>F3311+F3312+F3316+F3320+F3321+F3322</f>
        <v>523.63</v>
      </c>
      <c r="G3323" s="13">
        <f>G3311+G3312+G3316+G3320+G3321+G3322</f>
        <v>19.649584965701507</v>
      </c>
    </row>
    <row r="3324" spans="2:7" ht="12.75">
      <c r="B3324" s="2">
        <v>4</v>
      </c>
      <c r="C3324" s="10" t="s">
        <v>29</v>
      </c>
      <c r="D3324" s="13">
        <v>48.6</v>
      </c>
      <c r="E3324" s="12">
        <v>1.8</v>
      </c>
      <c r="F3324" s="12"/>
      <c r="G3324" s="12"/>
    </row>
    <row r="3325" spans="2:7" ht="12.75">
      <c r="B3325" s="5">
        <v>5</v>
      </c>
      <c r="C3325" s="10" t="s">
        <v>13</v>
      </c>
      <c r="D3325" s="13">
        <f>D3323+D3324</f>
        <v>535</v>
      </c>
      <c r="E3325" s="13">
        <f>E3323+E3324</f>
        <v>20.052502964530706</v>
      </c>
      <c r="F3325" s="13">
        <f>F3323-F3308/1000</f>
        <v>-34.95488999999998</v>
      </c>
      <c r="G3325" s="13"/>
    </row>
    <row r="3326" spans="2:7" ht="12.75">
      <c r="B3326" s="5"/>
      <c r="C3326" s="10"/>
      <c r="D3326" s="13"/>
      <c r="E3326" s="13"/>
      <c r="F3326" s="13"/>
      <c r="G3326" s="13"/>
    </row>
    <row r="3327" spans="2:7" ht="12.75">
      <c r="B3327" s="11" t="s">
        <v>30</v>
      </c>
      <c r="C3327" s="11"/>
      <c r="D3327" s="13"/>
      <c r="E3327" s="13"/>
      <c r="F3327" s="13"/>
      <c r="G3327" s="13"/>
    </row>
    <row r="3328" spans="2:7" ht="12.75">
      <c r="B3328" s="25"/>
      <c r="C3328" s="34" t="s">
        <v>31</v>
      </c>
      <c r="D3328" s="9">
        <v>10859.04</v>
      </c>
      <c r="E3328" s="13"/>
      <c r="F3328" s="13"/>
      <c r="G3328" s="13"/>
    </row>
    <row r="3329" spans="2:7" ht="12.75">
      <c r="B3329" s="5"/>
      <c r="C3329" s="23" t="s">
        <v>32</v>
      </c>
      <c r="D3329" s="9">
        <v>10536.31</v>
      </c>
      <c r="E3329" s="13"/>
      <c r="F3329" s="13"/>
      <c r="G3329" s="13"/>
    </row>
    <row r="3330" spans="2:7" ht="12.75">
      <c r="B3330" s="5"/>
      <c r="C3330" s="36" t="s">
        <v>13</v>
      </c>
      <c r="D3330" s="13">
        <f>D3329-D3328</f>
        <v>-322.7300000000014</v>
      </c>
      <c r="E3330" s="13"/>
      <c r="F3330" s="13"/>
      <c r="G3330" s="13"/>
    </row>
    <row r="3331" spans="2:7" ht="12.75">
      <c r="B3331" s="5"/>
      <c r="C3331" s="34" t="s">
        <v>187</v>
      </c>
      <c r="D3331" s="9">
        <v>11236.62</v>
      </c>
      <c r="E3331" s="13"/>
      <c r="F3331" s="13"/>
      <c r="G3331" s="13"/>
    </row>
    <row r="3332" spans="2:7" ht="12.75">
      <c r="B3332" s="5"/>
      <c r="C3332" s="23" t="s">
        <v>34</v>
      </c>
      <c r="D3332" s="9">
        <v>11529.94</v>
      </c>
      <c r="E3332" s="13"/>
      <c r="F3332" s="13"/>
      <c r="G3332" s="13"/>
    </row>
    <row r="3333" spans="2:7" ht="12.75">
      <c r="B3333" s="5"/>
      <c r="C3333" s="36" t="s">
        <v>13</v>
      </c>
      <c r="D3333" s="13">
        <f>D3332-D3331</f>
        <v>293.3199999999997</v>
      </c>
      <c r="E3333" s="13"/>
      <c r="F3333" s="13"/>
      <c r="G3333" s="13"/>
    </row>
    <row r="3334" spans="2:7" ht="12.75">
      <c r="B3334" s="5"/>
      <c r="C3334" s="34" t="s">
        <v>42</v>
      </c>
      <c r="D3334" s="9">
        <v>34244.78</v>
      </c>
      <c r="E3334" s="13"/>
      <c r="F3334" s="13"/>
      <c r="G3334" s="13"/>
    </row>
    <row r="3335" spans="2:7" ht="12.75">
      <c r="B3335" s="5"/>
      <c r="C3335" s="23" t="s">
        <v>43</v>
      </c>
      <c r="D3335" s="9">
        <v>27477.47</v>
      </c>
      <c r="E3335" s="13"/>
      <c r="F3335" s="13"/>
      <c r="G3335" s="13"/>
    </row>
    <row r="3336" spans="2:7" ht="12.75">
      <c r="B3336" s="5"/>
      <c r="C3336" s="36" t="s">
        <v>13</v>
      </c>
      <c r="D3336" s="13">
        <f>D3335-D3334</f>
        <v>-6767.309999999998</v>
      </c>
      <c r="E3336" s="13"/>
      <c r="F3336" s="13"/>
      <c r="G3336" s="13"/>
    </row>
    <row r="3337" spans="2:7" ht="12.75">
      <c r="B3337" s="5"/>
      <c r="C3337" s="36" t="s">
        <v>35</v>
      </c>
      <c r="D3337" s="13">
        <f>D3330+D3333+D3336</f>
        <v>-6796.719999999999</v>
      </c>
      <c r="E3337" s="13"/>
      <c r="F3337" s="13"/>
      <c r="G3337" s="13"/>
    </row>
    <row r="3338" spans="2:7" ht="12.75">
      <c r="B3338" s="5"/>
      <c r="C3338" s="14" t="s">
        <v>58</v>
      </c>
      <c r="D3338" s="13"/>
      <c r="E3338" s="13"/>
      <c r="F3338" s="13">
        <v>-28.15</v>
      </c>
      <c r="G3338" s="13"/>
    </row>
    <row r="3339" spans="2:7" ht="12.75">
      <c r="B3339" s="5"/>
      <c r="C3339" s="14"/>
      <c r="D3339" s="13"/>
      <c r="E3339" s="13"/>
      <c r="F3339" s="13"/>
      <c r="G3339" s="13"/>
    </row>
    <row r="3340" spans="2:7" ht="12.75">
      <c r="B3340" s="5"/>
      <c r="C3340" s="14" t="s">
        <v>198</v>
      </c>
      <c r="D3340" s="13"/>
      <c r="E3340" s="13"/>
      <c r="F3340" s="37">
        <v>-51.9</v>
      </c>
      <c r="G3340" s="13"/>
    </row>
    <row r="3341" spans="2:7" ht="12.75">
      <c r="B3341" s="23" t="s">
        <v>39</v>
      </c>
      <c r="C3341" s="23"/>
      <c r="D3341" s="23"/>
      <c r="E3341" s="23"/>
      <c r="F3341" s="23"/>
      <c r="G3341" s="23"/>
    </row>
    <row r="3343" spans="2:7" ht="12.75">
      <c r="B3343" s="1" t="s">
        <v>0</v>
      </c>
      <c r="C3343" s="1"/>
      <c r="D3343" s="1"/>
      <c r="E3343" s="1"/>
      <c r="F3343" s="1"/>
      <c r="G3343" s="1"/>
    </row>
    <row r="3344" spans="2:7" ht="12.75">
      <c r="B3344" s="1" t="s">
        <v>51</v>
      </c>
      <c r="C3344" s="1"/>
      <c r="D3344" s="1"/>
      <c r="E3344" s="1"/>
      <c r="F3344" s="1"/>
      <c r="G3344" s="1"/>
    </row>
    <row r="3345" spans="2:7" ht="12.75">
      <c r="B3345" s="1" t="s">
        <v>199</v>
      </c>
      <c r="C3345" s="1"/>
      <c r="D3345" s="1"/>
      <c r="E3345" s="1"/>
      <c r="F3345" s="1"/>
      <c r="G3345" s="1"/>
    </row>
    <row r="3346" spans="2:7" ht="12.75" customHeight="1">
      <c r="B3346" s="2"/>
      <c r="C3346" s="2" t="s">
        <v>3</v>
      </c>
      <c r="D3346" s="3" t="s">
        <v>41</v>
      </c>
      <c r="E3346" s="3"/>
      <c r="F3346" s="4" t="s">
        <v>109</v>
      </c>
      <c r="G3346" s="4"/>
    </row>
    <row r="3347" spans="2:7" ht="12.75">
      <c r="B3347" s="2"/>
      <c r="C3347" s="2"/>
      <c r="D3347" s="3" t="s">
        <v>6</v>
      </c>
      <c r="E3347" s="3" t="s">
        <v>7</v>
      </c>
      <c r="F3347" s="3" t="s">
        <v>6</v>
      </c>
      <c r="G3347" s="3" t="s">
        <v>8</v>
      </c>
    </row>
    <row r="3348" spans="2:7" ht="12.75">
      <c r="B3348" s="5">
        <v>1</v>
      </c>
      <c r="C3348" s="6" t="s">
        <v>9</v>
      </c>
      <c r="D3348" s="13">
        <v>2220.7</v>
      </c>
      <c r="E3348" s="13"/>
      <c r="F3348" s="13">
        <v>2220.7</v>
      </c>
      <c r="G3348" s="13"/>
    </row>
    <row r="3349" spans="2:7" ht="12.75">
      <c r="B3349" s="5">
        <v>2</v>
      </c>
      <c r="C3349" s="7" t="s">
        <v>200</v>
      </c>
      <c r="D3349" s="8"/>
      <c r="E3349" s="8"/>
      <c r="F3349" s="8" t="s">
        <v>3</v>
      </c>
      <c r="G3349" s="8"/>
    </row>
    <row r="3350" spans="2:7" ht="12.75">
      <c r="B3350" s="5"/>
      <c r="C3350" s="2" t="s">
        <v>49</v>
      </c>
      <c r="D3350" s="9"/>
      <c r="E3350" s="9"/>
      <c r="F3350" s="9">
        <v>542012.9</v>
      </c>
      <c r="G3350" s="9"/>
    </row>
    <row r="3351" spans="2:7" ht="12.75">
      <c r="B3351" s="5"/>
      <c r="C3351" s="2" t="s">
        <v>50</v>
      </c>
      <c r="D3351" s="9"/>
      <c r="E3351" s="9"/>
      <c r="F3351" s="9">
        <v>596907.78</v>
      </c>
      <c r="G3351" s="9"/>
    </row>
    <row r="3352" spans="2:7" ht="12.75">
      <c r="B3352" s="5"/>
      <c r="C3352" s="2" t="s">
        <v>13</v>
      </c>
      <c r="D3352" s="9"/>
      <c r="E3352" s="9"/>
      <c r="F3352" s="9">
        <f>F3351-F3350</f>
        <v>54894.880000000005</v>
      </c>
      <c r="G3352" s="9"/>
    </row>
    <row r="3353" spans="2:7" ht="12.75">
      <c r="B3353" s="5">
        <v>3</v>
      </c>
      <c r="C3353" s="10" t="s">
        <v>14</v>
      </c>
      <c r="D3353" s="1" t="s">
        <v>15</v>
      </c>
      <c r="E3353" s="1"/>
      <c r="F3353" s="1" t="s">
        <v>15</v>
      </c>
      <c r="G3353" s="1"/>
    </row>
    <row r="3354" spans="2:7" ht="12.75">
      <c r="B3354" s="11" t="s">
        <v>16</v>
      </c>
      <c r="C3354" s="11"/>
      <c r="D3354" s="13">
        <v>72.2</v>
      </c>
      <c r="E3354" s="13">
        <f>D3354/2220.7/12*1000</f>
        <v>2.709355908797527</v>
      </c>
      <c r="F3354" s="13">
        <v>73.17</v>
      </c>
      <c r="G3354" s="13">
        <f>F3354/2220.7/12*1000</f>
        <v>2.7457558427522852</v>
      </c>
    </row>
    <row r="3355" spans="2:7" ht="12.75" customHeight="1">
      <c r="B3355" s="14" t="s">
        <v>17</v>
      </c>
      <c r="C3355" s="14"/>
      <c r="D3355" s="1">
        <f>D3356+D3357+D3358</f>
        <v>149.57999999999998</v>
      </c>
      <c r="E3355" s="13">
        <f>D3355/2220.7/12*1000</f>
        <v>5.613094970054487</v>
      </c>
      <c r="F3355" s="12">
        <f>F3356+F3357+F3358</f>
        <v>148.29</v>
      </c>
      <c r="G3355" s="13">
        <f>F3355/2220.7/12*1000</f>
        <v>5.564686810465169</v>
      </c>
    </row>
    <row r="3356" spans="2:7" ht="12.75">
      <c r="B3356" s="2"/>
      <c r="C3356" s="15" t="s">
        <v>18</v>
      </c>
      <c r="D3356" s="9">
        <v>116</v>
      </c>
      <c r="E3356" s="13">
        <f>D3356/2220.7/12*1000</f>
        <v>4.352981792527881</v>
      </c>
      <c r="F3356" s="9">
        <f>42.64+8.45+71.3</f>
        <v>122.39</v>
      </c>
      <c r="G3356" s="13">
        <f>F3356/2220.7/12*1000</f>
        <v>4.592771048167996</v>
      </c>
    </row>
    <row r="3357" spans="2:7" ht="12.75">
      <c r="B3357" s="2"/>
      <c r="C3357" s="15" t="s">
        <v>19</v>
      </c>
      <c r="D3357" s="18">
        <v>33.58</v>
      </c>
      <c r="E3357" s="13">
        <f>D3357/2220.7/12*1000</f>
        <v>1.260113177526606</v>
      </c>
      <c r="F3357" s="18">
        <v>25.9</v>
      </c>
      <c r="G3357" s="13">
        <f>F3357/2220.7/12*1000</f>
        <v>0.9719157622971736</v>
      </c>
    </row>
    <row r="3358" spans="2:7" ht="12.75">
      <c r="B3358" s="32" t="s">
        <v>20</v>
      </c>
      <c r="C3358" s="32"/>
      <c r="D3358" s="18">
        <v>0</v>
      </c>
      <c r="E3358" s="13">
        <f>D3358/2220.7/12*1000</f>
        <v>0</v>
      </c>
      <c r="F3358" s="18">
        <v>0</v>
      </c>
      <c r="G3358" s="13">
        <f>F3358/2220.7/12*1000</f>
        <v>0</v>
      </c>
    </row>
    <row r="3359" spans="2:7" ht="12.75" customHeight="1">
      <c r="B3359" s="19" t="s">
        <v>21</v>
      </c>
      <c r="C3359" s="19"/>
      <c r="D3359" s="13">
        <f>D3360+D3362+D3361</f>
        <v>166.54</v>
      </c>
      <c r="E3359" s="13">
        <f>D3359/2220.7/12*1000</f>
        <v>6.249530928686151</v>
      </c>
      <c r="F3359" s="13">
        <f>F3360+F3362+F3361</f>
        <v>181.08</v>
      </c>
      <c r="G3359" s="13">
        <f>F3359/2220.7/12*1000</f>
        <v>6.795154680956457</v>
      </c>
    </row>
    <row r="3360" spans="2:7" ht="12.75">
      <c r="B3360" s="2"/>
      <c r="C3360" s="15" t="s">
        <v>22</v>
      </c>
      <c r="D3360" s="9">
        <v>139.6</v>
      </c>
      <c r="E3360" s="13">
        <f>D3360/2220.7/12*1000</f>
        <v>5.238588433076657</v>
      </c>
      <c r="F3360" s="8">
        <f>99.58+30.37+4.36+13.43+1.8+3.16+23.6+0.2</f>
        <v>176.5</v>
      </c>
      <c r="G3360" s="13">
        <f>F3360/2220.7/12*1000</f>
        <v>6.623286951561821</v>
      </c>
    </row>
    <row r="3361" spans="2:7" ht="12.75">
      <c r="B3361" s="2"/>
      <c r="C3361" s="15" t="s">
        <v>23</v>
      </c>
      <c r="D3361" s="9">
        <v>24.8</v>
      </c>
      <c r="E3361" s="13">
        <f>D3361/2220.7/12*1000</f>
        <v>0.9306374866783748</v>
      </c>
      <c r="F3361" s="9">
        <v>2.08</v>
      </c>
      <c r="G3361" s="13">
        <f>F3361/2220.7/12*1000</f>
        <v>0.07805346662463788</v>
      </c>
    </row>
    <row r="3362" spans="2:7" ht="12.75">
      <c r="B3362" s="2"/>
      <c r="C3362" s="20" t="s">
        <v>24</v>
      </c>
      <c r="D3362" s="9">
        <v>2.14</v>
      </c>
      <c r="E3362" s="13">
        <f>D3362/2220.7/12*1000</f>
        <v>0.08030500893111782</v>
      </c>
      <c r="F3362" s="9">
        <v>2.5</v>
      </c>
      <c r="G3362" s="13">
        <f>F3362/2220.7/12*1000</f>
        <v>0.09381426276999746</v>
      </c>
    </row>
    <row r="3363" spans="2:7" ht="12.75">
      <c r="B3363" s="11" t="s">
        <v>25</v>
      </c>
      <c r="C3363" s="11"/>
      <c r="D3363" s="13">
        <v>15.7</v>
      </c>
      <c r="E3363" s="13">
        <f>D3363/2220.7/12*1000</f>
        <v>0.589153570195584</v>
      </c>
      <c r="F3363" s="13">
        <v>17.85</v>
      </c>
      <c r="G3363" s="13">
        <f>F3363/2220.7/12*1000</f>
        <v>0.6698338361777818</v>
      </c>
    </row>
    <row r="3364" spans="2:7" ht="12.75">
      <c r="B3364" s="21" t="s">
        <v>26</v>
      </c>
      <c r="C3364" s="21"/>
      <c r="D3364" s="13">
        <v>82.3</v>
      </c>
      <c r="E3364" s="13">
        <f>D3364/2220.7/12*1000</f>
        <v>3.0883655303883164</v>
      </c>
      <c r="F3364" s="1">
        <f>14.9+68.49</f>
        <v>83.39</v>
      </c>
      <c r="G3364" s="13">
        <f>F3364/2220.7/12*1000</f>
        <v>3.129268548956035</v>
      </c>
    </row>
    <row r="3365" spans="2:7" ht="12.75">
      <c r="B3365" s="21"/>
      <c r="C3365" s="22" t="s">
        <v>27</v>
      </c>
      <c r="D3365" s="13">
        <v>0</v>
      </c>
      <c r="E3365" s="13">
        <v>0</v>
      </c>
      <c r="F3365" s="13">
        <v>14.2</v>
      </c>
      <c r="G3365" s="13">
        <f>F3365/2220.7/8*1000</f>
        <v>0.7992975188003784</v>
      </c>
    </row>
    <row r="3366" spans="2:7" ht="12.75">
      <c r="B3366" s="2"/>
      <c r="C3366" s="10" t="s">
        <v>28</v>
      </c>
      <c r="D3366" s="12">
        <f>D3354+D3355+D3359+D3363+D3364</f>
        <v>486.31999999999994</v>
      </c>
      <c r="E3366" s="12">
        <f>E3354+E3355+E3359+E3363+E3364</f>
        <v>18.249500908122066</v>
      </c>
      <c r="F3366" s="12">
        <f>F3354+F3355+F3359+F3363+F3364+F3365</f>
        <v>517.98</v>
      </c>
      <c r="G3366" s="13">
        <f>G3354+G3355+G3359+G3363+G3364+G3365</f>
        <v>19.70399723810811</v>
      </c>
    </row>
    <row r="3367" spans="2:7" ht="12.75">
      <c r="B3367" s="2">
        <v>4</v>
      </c>
      <c r="C3367" s="10" t="s">
        <v>29</v>
      </c>
      <c r="D3367" s="13">
        <v>48.6</v>
      </c>
      <c r="E3367" s="12">
        <v>1.8</v>
      </c>
      <c r="F3367" s="12"/>
      <c r="G3367" s="12"/>
    </row>
    <row r="3368" spans="2:7" ht="12.75">
      <c r="B3368" s="5">
        <v>5</v>
      </c>
      <c r="C3368" s="10" t="s">
        <v>13</v>
      </c>
      <c r="D3368" s="13">
        <f>D3366+D3367</f>
        <v>534.92</v>
      </c>
      <c r="E3368" s="13">
        <f>E3366+E3367</f>
        <v>20.049500908122067</v>
      </c>
      <c r="F3368" s="13">
        <f>F3366-F3351/1000</f>
        <v>-78.92777999999998</v>
      </c>
      <c r="G3368" s="13"/>
    </row>
    <row r="3369" spans="2:7" ht="12.75">
      <c r="B3369" s="5"/>
      <c r="C3369" s="10"/>
      <c r="D3369" s="13"/>
      <c r="E3369" s="13"/>
      <c r="F3369" s="13"/>
      <c r="G3369" s="13"/>
    </row>
    <row r="3370" spans="2:7" ht="12.75">
      <c r="B3370" s="11" t="s">
        <v>30</v>
      </c>
      <c r="C3370" s="11"/>
      <c r="D3370" s="37" t="s">
        <v>6</v>
      </c>
      <c r="E3370" s="13"/>
      <c r="F3370" s="13"/>
      <c r="G3370" s="13"/>
    </row>
    <row r="3371" spans="2:7" ht="12.75">
      <c r="B3371" s="25"/>
      <c r="C3371" s="34" t="s">
        <v>31</v>
      </c>
      <c r="D3371" s="9">
        <v>18764.61</v>
      </c>
      <c r="E3371" s="13"/>
      <c r="F3371" s="13"/>
      <c r="G3371" s="13"/>
    </row>
    <row r="3372" spans="2:7" ht="12.75">
      <c r="B3372" s="5"/>
      <c r="C3372" s="23" t="s">
        <v>32</v>
      </c>
      <c r="D3372" s="9">
        <v>17916.71</v>
      </c>
      <c r="E3372" s="13"/>
      <c r="F3372" s="13"/>
      <c r="G3372" s="13"/>
    </row>
    <row r="3373" spans="2:7" ht="12.75">
      <c r="B3373" s="5"/>
      <c r="C3373" s="36" t="s">
        <v>13</v>
      </c>
      <c r="D3373" s="13">
        <f>D3372-D3371</f>
        <v>-847.9000000000015</v>
      </c>
      <c r="E3373" s="13"/>
      <c r="F3373" s="13"/>
      <c r="G3373" s="13"/>
    </row>
    <row r="3374" spans="2:7" ht="12.75">
      <c r="B3374" s="5"/>
      <c r="C3374" s="34" t="s">
        <v>187</v>
      </c>
      <c r="D3374" s="9">
        <v>21519.01</v>
      </c>
      <c r="E3374" s="13"/>
      <c r="F3374" s="13"/>
      <c r="G3374" s="13"/>
    </row>
    <row r="3375" spans="2:7" ht="12.75">
      <c r="B3375" s="5"/>
      <c r="C3375" s="23" t="s">
        <v>34</v>
      </c>
      <c r="D3375" s="9">
        <v>19259.01</v>
      </c>
      <c r="E3375" s="13"/>
      <c r="F3375" s="13"/>
      <c r="G3375" s="13"/>
    </row>
    <row r="3376" spans="2:7" ht="12.75">
      <c r="B3376" s="5"/>
      <c r="C3376" s="36" t="s">
        <v>13</v>
      </c>
      <c r="D3376" s="13">
        <f>D3375-D3374</f>
        <v>-2260</v>
      </c>
      <c r="E3376" s="13"/>
      <c r="F3376" s="13"/>
      <c r="G3376" s="13"/>
    </row>
    <row r="3377" spans="2:7" ht="12.75">
      <c r="B3377" s="5"/>
      <c r="C3377" s="34" t="s">
        <v>42</v>
      </c>
      <c r="D3377" s="9">
        <v>20896.97</v>
      </c>
      <c r="E3377" s="13"/>
      <c r="F3377" s="13"/>
      <c r="G3377" s="13"/>
    </row>
    <row r="3378" spans="2:7" ht="12.75">
      <c r="B3378" s="5"/>
      <c r="C3378" s="23" t="s">
        <v>43</v>
      </c>
      <c r="D3378" s="9">
        <v>23314.27</v>
      </c>
      <c r="E3378" s="13"/>
      <c r="F3378" s="13"/>
      <c r="G3378" s="13"/>
    </row>
    <row r="3379" spans="2:7" ht="12.75">
      <c r="B3379" s="5"/>
      <c r="C3379" s="36" t="s">
        <v>13</v>
      </c>
      <c r="D3379" s="13">
        <f>D3378-D3377</f>
        <v>2417.2999999999993</v>
      </c>
      <c r="E3379" s="13"/>
      <c r="F3379" s="13"/>
      <c r="G3379" s="13"/>
    </row>
    <row r="3380" spans="2:7" ht="12.75">
      <c r="B3380" s="5"/>
      <c r="C3380" s="36" t="s">
        <v>35</v>
      </c>
      <c r="D3380" s="13">
        <v>-690.6</v>
      </c>
      <c r="E3380" s="13"/>
      <c r="F3380" s="13"/>
      <c r="G3380" s="13"/>
    </row>
    <row r="3381" spans="2:7" ht="12.75">
      <c r="B3381" s="5"/>
      <c r="C3381" s="14" t="s">
        <v>44</v>
      </c>
      <c r="D3381" s="13"/>
      <c r="E3381" s="13"/>
      <c r="F3381" s="13">
        <v>-78.2</v>
      </c>
      <c r="G3381" s="13"/>
    </row>
    <row r="3382" spans="2:7" ht="12.75">
      <c r="B3382" s="5"/>
      <c r="C3382" s="14"/>
      <c r="D3382" s="13"/>
      <c r="E3382" s="13"/>
      <c r="F3382" s="13"/>
      <c r="G3382" s="13"/>
    </row>
    <row r="3383" spans="2:7" ht="12.75">
      <c r="B3383" s="5"/>
      <c r="C3383" s="14" t="s">
        <v>201</v>
      </c>
      <c r="D3383" s="13"/>
      <c r="E3383" s="13"/>
      <c r="F3383" s="37">
        <v>14.7</v>
      </c>
      <c r="G3383" s="13"/>
    </row>
    <row r="3384" spans="2:7" ht="12.75">
      <c r="B3384" s="23" t="s">
        <v>39</v>
      </c>
      <c r="C3384" s="23"/>
      <c r="D3384" s="23"/>
      <c r="E3384" s="23"/>
      <c r="F3384" s="23"/>
      <c r="G3384" s="23"/>
    </row>
    <row r="3386" spans="2:7" ht="12.75">
      <c r="B3386" s="1" t="s">
        <v>0</v>
      </c>
      <c r="C3386" s="1"/>
      <c r="D3386" s="1"/>
      <c r="E3386" s="1"/>
      <c r="F3386" s="1"/>
      <c r="G3386" s="1"/>
    </row>
    <row r="3387" spans="2:7" ht="12.75">
      <c r="B3387" s="1" t="s">
        <v>51</v>
      </c>
      <c r="C3387" s="1"/>
      <c r="D3387" s="1"/>
      <c r="E3387" s="1"/>
      <c r="F3387" s="1"/>
      <c r="G3387" s="1"/>
    </row>
    <row r="3388" spans="2:7" ht="12.75">
      <c r="B3388" s="1" t="s">
        <v>202</v>
      </c>
      <c r="C3388" s="1"/>
      <c r="D3388" s="1"/>
      <c r="E3388" s="1"/>
      <c r="F3388" s="1"/>
      <c r="G3388" s="1"/>
    </row>
    <row r="3389" spans="2:7" ht="12.75" customHeight="1">
      <c r="B3389" s="2"/>
      <c r="C3389" s="2" t="s">
        <v>3</v>
      </c>
      <c r="D3389" s="3" t="s">
        <v>41</v>
      </c>
      <c r="E3389" s="3"/>
      <c r="F3389" s="4" t="s">
        <v>109</v>
      </c>
      <c r="G3389" s="4"/>
    </row>
    <row r="3390" spans="2:7" ht="12.75">
      <c r="B3390" s="2"/>
      <c r="C3390" s="2"/>
      <c r="D3390" s="3" t="s">
        <v>6</v>
      </c>
      <c r="E3390" s="3" t="s">
        <v>7</v>
      </c>
      <c r="F3390" s="3" t="s">
        <v>6</v>
      </c>
      <c r="G3390" s="3" t="s">
        <v>8</v>
      </c>
    </row>
    <row r="3391" spans="2:7" ht="12.75">
      <c r="B3391" s="5">
        <v>1</v>
      </c>
      <c r="C3391" s="6" t="s">
        <v>9</v>
      </c>
      <c r="D3391" s="13">
        <v>258</v>
      </c>
      <c r="E3391" s="13"/>
      <c r="F3391" s="13">
        <v>258</v>
      </c>
      <c r="G3391" s="13"/>
    </row>
    <row r="3392" spans="2:7" ht="12.75">
      <c r="B3392" s="5">
        <v>2</v>
      </c>
      <c r="C3392" s="7" t="s">
        <v>69</v>
      </c>
      <c r="D3392" s="8"/>
      <c r="E3392" s="8"/>
      <c r="F3392" s="8" t="s">
        <v>3</v>
      </c>
      <c r="G3392" s="8"/>
    </row>
    <row r="3393" spans="2:7" ht="12.75">
      <c r="B3393" s="5"/>
      <c r="C3393" s="2" t="s">
        <v>49</v>
      </c>
      <c r="D3393" s="9"/>
      <c r="E3393" s="9"/>
      <c r="F3393" s="9">
        <v>62074.8</v>
      </c>
      <c r="G3393" s="9"/>
    </row>
    <row r="3394" spans="2:7" ht="12.75">
      <c r="B3394" s="5"/>
      <c r="C3394" s="2" t="s">
        <v>50</v>
      </c>
      <c r="D3394" s="9"/>
      <c r="E3394" s="9"/>
      <c r="F3394" s="9">
        <v>49432.88</v>
      </c>
      <c r="G3394" s="9"/>
    </row>
    <row r="3395" spans="2:7" ht="12.75">
      <c r="B3395" s="5"/>
      <c r="C3395" s="2" t="s">
        <v>13</v>
      </c>
      <c r="D3395" s="9"/>
      <c r="E3395" s="9"/>
      <c r="F3395" s="9">
        <f>F3394-F3393</f>
        <v>-12641.920000000006</v>
      </c>
      <c r="G3395" s="9"/>
    </row>
    <row r="3396" spans="2:7" ht="12.75">
      <c r="B3396" s="5">
        <v>3</v>
      </c>
      <c r="C3396" s="10" t="s">
        <v>14</v>
      </c>
      <c r="D3396" s="1" t="s">
        <v>15</v>
      </c>
      <c r="E3396" s="1"/>
      <c r="F3396" s="1" t="s">
        <v>15</v>
      </c>
      <c r="G3396" s="1"/>
    </row>
    <row r="3397" spans="2:7" ht="12.75">
      <c r="B3397" s="11" t="s">
        <v>16</v>
      </c>
      <c r="C3397" s="11"/>
      <c r="D3397" s="13">
        <v>8.4</v>
      </c>
      <c r="E3397" s="13">
        <f>D3397/258/12*1000</f>
        <v>2.7131782945736433</v>
      </c>
      <c r="F3397" s="13">
        <v>8.38</v>
      </c>
      <c r="G3397" s="13">
        <f>F3397/258/12*1000</f>
        <v>2.70671834625323</v>
      </c>
    </row>
    <row r="3398" spans="2:7" ht="12.75" customHeight="1">
      <c r="B3398" s="14" t="s">
        <v>17</v>
      </c>
      <c r="C3398" s="14"/>
      <c r="D3398" s="1">
        <f>D3399+D3400+D3401</f>
        <v>17.36</v>
      </c>
      <c r="E3398" s="13">
        <f>D3398/258/12*1000</f>
        <v>5.607235142118863</v>
      </c>
      <c r="F3398" s="12">
        <f>F3399+F3400+F3401</f>
        <v>14.32</v>
      </c>
      <c r="G3398" s="13">
        <f>F3398/258/12*1000</f>
        <v>4.625322997416021</v>
      </c>
    </row>
    <row r="3399" spans="2:7" ht="12.75">
      <c r="B3399" s="2"/>
      <c r="C3399" s="15" t="s">
        <v>18</v>
      </c>
      <c r="D3399" s="9">
        <v>13.48</v>
      </c>
      <c r="E3399" s="13">
        <f>D3399/258/12*1000</f>
        <v>4.354005167958657</v>
      </c>
      <c r="F3399" s="9">
        <f>4.95+0.24+8.29</f>
        <v>13.48</v>
      </c>
      <c r="G3399" s="13">
        <f>F3399/258/12*1000</f>
        <v>4.354005167958657</v>
      </c>
    </row>
    <row r="3400" spans="2:7" ht="12.75">
      <c r="B3400" s="2"/>
      <c r="C3400" s="15" t="s">
        <v>19</v>
      </c>
      <c r="D3400" s="18">
        <v>3.88</v>
      </c>
      <c r="E3400" s="13">
        <f>D3400/258/12*1000</f>
        <v>1.2532299741602067</v>
      </c>
      <c r="F3400" s="18">
        <v>0.84</v>
      </c>
      <c r="G3400" s="13">
        <f>F3400/258/12*1000</f>
        <v>0.2713178294573643</v>
      </c>
    </row>
    <row r="3401" spans="2:7" ht="12.75">
      <c r="B3401" s="32" t="s">
        <v>20</v>
      </c>
      <c r="C3401" s="32"/>
      <c r="D3401" s="18">
        <v>0</v>
      </c>
      <c r="E3401" s="13">
        <f>D3401/258/12*1000</f>
        <v>0</v>
      </c>
      <c r="F3401" s="18">
        <v>0</v>
      </c>
      <c r="G3401" s="13">
        <f>F3401/258/12*1000</f>
        <v>0</v>
      </c>
    </row>
    <row r="3402" spans="2:7" ht="12.75" customHeight="1">
      <c r="B3402" s="19" t="s">
        <v>21</v>
      </c>
      <c r="C3402" s="19"/>
      <c r="D3402" s="13">
        <f>D3403+D3405+D3404</f>
        <v>19.349999999999998</v>
      </c>
      <c r="E3402" s="13">
        <f>D3402/258/12*1000</f>
        <v>6.249999999999999</v>
      </c>
      <c r="F3402" s="13">
        <f>F3403+F3405+F3404</f>
        <v>19.850000000000005</v>
      </c>
      <c r="G3402" s="13">
        <f>F3402/258/12*1000</f>
        <v>6.4114987080103365</v>
      </c>
    </row>
    <row r="3403" spans="2:7" ht="12.75">
      <c r="B3403" s="2"/>
      <c r="C3403" s="15" t="s">
        <v>22</v>
      </c>
      <c r="D3403" s="9">
        <v>16.22</v>
      </c>
      <c r="E3403" s="13">
        <f>D3403/258/12*1000</f>
        <v>5.239018087855297</v>
      </c>
      <c r="F3403" s="8">
        <f>11.57+3.53+0.5+1.56+0.21+2.01+0.03+0.18</f>
        <v>19.590000000000003</v>
      </c>
      <c r="G3403" s="13">
        <f>F3403/258/12*1000</f>
        <v>6.327519379844962</v>
      </c>
    </row>
    <row r="3404" spans="2:7" ht="12.75">
      <c r="B3404" s="2"/>
      <c r="C3404" s="15" t="s">
        <v>23</v>
      </c>
      <c r="D3404" s="9">
        <v>2.88</v>
      </c>
      <c r="E3404" s="13">
        <f>D3404/258/12*1000</f>
        <v>0.930232558139535</v>
      </c>
      <c r="F3404" s="9">
        <v>0.26</v>
      </c>
      <c r="G3404" s="13">
        <f>F3404/258/12*1000</f>
        <v>0.08397932816537468</v>
      </c>
    </row>
    <row r="3405" spans="2:7" ht="12.75">
      <c r="B3405" s="2"/>
      <c r="C3405" s="20" t="s">
        <v>24</v>
      </c>
      <c r="D3405" s="9">
        <v>0.25</v>
      </c>
      <c r="E3405" s="13">
        <f>D3405/258/12*1000</f>
        <v>0.08074935400516796</v>
      </c>
      <c r="F3405" s="9">
        <v>0</v>
      </c>
      <c r="G3405" s="13">
        <f>F3405/258/12*1000</f>
        <v>0</v>
      </c>
    </row>
    <row r="3406" spans="2:7" ht="12.75">
      <c r="B3406" s="11" t="s">
        <v>25</v>
      </c>
      <c r="C3406" s="11"/>
      <c r="D3406" s="13">
        <v>1.82</v>
      </c>
      <c r="E3406" s="13">
        <f>D3406/258/12*1000</f>
        <v>0.5878552971576229</v>
      </c>
      <c r="F3406" s="13">
        <v>1.48</v>
      </c>
      <c r="G3406" s="13">
        <f>F3406/258/12*1000</f>
        <v>0.4780361757105943</v>
      </c>
    </row>
    <row r="3407" spans="2:7" ht="12.75">
      <c r="B3407" s="21" t="s">
        <v>26</v>
      </c>
      <c r="C3407" s="21"/>
      <c r="D3407" s="13">
        <v>9.57</v>
      </c>
      <c r="E3407" s="13">
        <f>D3407/258/12*1000</f>
        <v>3.0910852713178296</v>
      </c>
      <c r="F3407" s="1">
        <f>1.73+7.96</f>
        <v>9.69</v>
      </c>
      <c r="G3407" s="13">
        <f>F3407/258/12*1000</f>
        <v>3.12984496124031</v>
      </c>
    </row>
    <row r="3408" spans="2:7" ht="12.75">
      <c r="B3408" s="2"/>
      <c r="C3408" s="10" t="s">
        <v>28</v>
      </c>
      <c r="D3408" s="12">
        <f>D3397+D3398+D3402+D3406+D3407</f>
        <v>56.5</v>
      </c>
      <c r="E3408" s="12">
        <f>E3397+E3398+E3402+E3406+E3407</f>
        <v>18.249354005167955</v>
      </c>
      <c r="F3408" s="13">
        <f>F3397+F3398+F3402+F3406+F3407</f>
        <v>53.720000000000006</v>
      </c>
      <c r="G3408" s="13">
        <f>G3397+G3398+G3402+G3406+G3407</f>
        <v>17.351421188630493</v>
      </c>
    </row>
    <row r="3409" spans="2:7" ht="12.75">
      <c r="B3409" s="2">
        <v>4</v>
      </c>
      <c r="C3409" s="10" t="s">
        <v>29</v>
      </c>
      <c r="D3409" s="13">
        <v>5.65</v>
      </c>
      <c r="E3409" s="12">
        <v>1.8</v>
      </c>
      <c r="F3409" s="12"/>
      <c r="G3409" s="12"/>
    </row>
    <row r="3410" spans="2:7" ht="12.75">
      <c r="B3410" s="5">
        <v>5</v>
      </c>
      <c r="C3410" s="10" t="s">
        <v>13</v>
      </c>
      <c r="D3410" s="13">
        <f>D3408+D3409</f>
        <v>62.15</v>
      </c>
      <c r="E3410" s="13">
        <f>E3408+E3409</f>
        <v>20.049354005167956</v>
      </c>
      <c r="F3410" s="13">
        <f>F3408-F3394/1000</f>
        <v>4.287120000000009</v>
      </c>
      <c r="G3410" s="13"/>
    </row>
    <row r="3411" spans="2:7" ht="12.75">
      <c r="B3411" s="5"/>
      <c r="C3411" s="10"/>
      <c r="D3411" s="13"/>
      <c r="E3411" s="13"/>
      <c r="F3411" s="13"/>
      <c r="G3411" s="13"/>
    </row>
    <row r="3412" spans="2:7" ht="12.75">
      <c r="B3412" s="5"/>
      <c r="C3412" s="14" t="s">
        <v>127</v>
      </c>
      <c r="D3412" s="13"/>
      <c r="E3412" s="13"/>
      <c r="F3412" s="37">
        <v>43.8</v>
      </c>
      <c r="G3412" s="13"/>
    </row>
    <row r="3413" spans="2:7" ht="12.75">
      <c r="B3413" s="23" t="s">
        <v>39</v>
      </c>
      <c r="C3413" s="23"/>
      <c r="D3413" s="23"/>
      <c r="E3413" s="23"/>
      <c r="F3413" s="23"/>
      <c r="G3413" s="23"/>
    </row>
    <row r="3415" spans="2:7" ht="12.75">
      <c r="B3415" s="1" t="s">
        <v>0</v>
      </c>
      <c r="C3415" s="1"/>
      <c r="D3415" s="1"/>
      <c r="E3415" s="1"/>
      <c r="F3415" s="1"/>
      <c r="G3415" s="1"/>
    </row>
    <row r="3416" spans="2:7" ht="12.75">
      <c r="B3416" s="1" t="s">
        <v>51</v>
      </c>
      <c r="C3416" s="1"/>
      <c r="D3416" s="1"/>
      <c r="E3416" s="1"/>
      <c r="F3416" s="1"/>
      <c r="G3416" s="1"/>
    </row>
    <row r="3417" spans="2:7" ht="12.75">
      <c r="B3417" s="1" t="s">
        <v>203</v>
      </c>
      <c r="C3417" s="1"/>
      <c r="D3417" s="1"/>
      <c r="E3417" s="1"/>
      <c r="F3417" s="1"/>
      <c r="G3417" s="1"/>
    </row>
    <row r="3418" spans="2:7" ht="12.75" customHeight="1">
      <c r="B3418" s="2"/>
      <c r="C3418" s="2" t="s">
        <v>3</v>
      </c>
      <c r="D3418" s="3" t="s">
        <v>41</v>
      </c>
      <c r="E3418" s="3"/>
      <c r="F3418" s="4" t="s">
        <v>109</v>
      </c>
      <c r="G3418" s="4"/>
    </row>
    <row r="3419" spans="2:7" ht="12.75">
      <c r="B3419" s="2"/>
      <c r="C3419" s="2"/>
      <c r="D3419" s="3" t="s">
        <v>6</v>
      </c>
      <c r="E3419" s="3" t="s">
        <v>7</v>
      </c>
      <c r="F3419" s="3" t="s">
        <v>6</v>
      </c>
      <c r="G3419" s="3" t="s">
        <v>8</v>
      </c>
    </row>
    <row r="3420" spans="2:7" ht="12.75">
      <c r="B3420" s="5">
        <v>1</v>
      </c>
      <c r="C3420" s="6" t="s">
        <v>9</v>
      </c>
      <c r="D3420" s="13">
        <v>383.3</v>
      </c>
      <c r="E3420" s="13"/>
      <c r="F3420" s="13">
        <v>383.3</v>
      </c>
      <c r="G3420" s="13"/>
    </row>
    <row r="3421" spans="2:7" ht="12.75">
      <c r="B3421" s="5">
        <v>2</v>
      </c>
      <c r="C3421" s="7" t="s">
        <v>69</v>
      </c>
      <c r="D3421" s="8"/>
      <c r="E3421" s="8"/>
      <c r="F3421" s="8" t="s">
        <v>3</v>
      </c>
      <c r="G3421" s="8"/>
    </row>
    <row r="3422" spans="2:7" ht="12.75">
      <c r="B3422" s="5"/>
      <c r="C3422" s="2" t="s">
        <v>49</v>
      </c>
      <c r="D3422" s="9"/>
      <c r="E3422" s="9"/>
      <c r="F3422" s="9">
        <v>92246.04</v>
      </c>
      <c r="G3422" s="9"/>
    </row>
    <row r="3423" spans="2:7" ht="12.75">
      <c r="B3423" s="5"/>
      <c r="C3423" s="2" t="s">
        <v>50</v>
      </c>
      <c r="D3423" s="9"/>
      <c r="E3423" s="9"/>
      <c r="F3423" s="9">
        <v>93805.33</v>
      </c>
      <c r="G3423" s="9"/>
    </row>
    <row r="3424" spans="2:7" ht="12.75">
      <c r="B3424" s="5"/>
      <c r="C3424" s="2" t="s">
        <v>13</v>
      </c>
      <c r="D3424" s="9"/>
      <c r="E3424" s="9"/>
      <c r="F3424" s="9">
        <f>F3423-F3422</f>
        <v>1559.2900000000081</v>
      </c>
      <c r="G3424" s="9"/>
    </row>
    <row r="3425" spans="2:7" ht="12.75">
      <c r="B3425" s="5">
        <v>3</v>
      </c>
      <c r="C3425" s="10" t="s">
        <v>14</v>
      </c>
      <c r="D3425" s="1" t="s">
        <v>15</v>
      </c>
      <c r="E3425" s="1"/>
      <c r="F3425" s="1" t="s">
        <v>15</v>
      </c>
      <c r="G3425" s="1"/>
    </row>
    <row r="3426" spans="2:7" ht="12.75">
      <c r="B3426" s="11" t="s">
        <v>16</v>
      </c>
      <c r="C3426" s="11"/>
      <c r="D3426" s="13">
        <v>12.46</v>
      </c>
      <c r="E3426" s="13">
        <f>D3426/383.3/12*1000</f>
        <v>2.7089312114096877</v>
      </c>
      <c r="F3426" s="13">
        <v>12.45</v>
      </c>
      <c r="G3426" s="13">
        <f>F3426/383.3/12*1000</f>
        <v>2.706757109313853</v>
      </c>
    </row>
    <row r="3427" spans="2:7" ht="12.75" customHeight="1">
      <c r="B3427" s="14" t="s">
        <v>17</v>
      </c>
      <c r="C3427" s="14"/>
      <c r="D3427" s="1">
        <f>D3428+D3429+D3430</f>
        <v>25.8</v>
      </c>
      <c r="E3427" s="13">
        <f>D3427/383.3/12*1000</f>
        <v>5.609183407252805</v>
      </c>
      <c r="F3427" s="12">
        <f>F3428+F3429+F3430</f>
        <v>35.900000000000006</v>
      </c>
      <c r="G3427" s="13">
        <f>F3427/383.3/12*1000</f>
        <v>7.80502652404557</v>
      </c>
    </row>
    <row r="3428" spans="2:7" ht="12.75">
      <c r="B3428" s="2"/>
      <c r="C3428" s="15" t="s">
        <v>18</v>
      </c>
      <c r="D3428" s="9">
        <v>20</v>
      </c>
      <c r="E3428" s="13">
        <f>D3428/383.3/12*1000</f>
        <v>4.348204191668841</v>
      </c>
      <c r="F3428" s="9">
        <f>7.36+1.94+12.3</f>
        <v>21.6</v>
      </c>
      <c r="G3428" s="13">
        <f>F3428/383.3/12*1000</f>
        <v>4.6960605270023486</v>
      </c>
    </row>
    <row r="3429" spans="2:7" ht="12.75">
      <c r="B3429" s="2"/>
      <c r="C3429" s="15" t="s">
        <v>19</v>
      </c>
      <c r="D3429" s="18">
        <v>5.8</v>
      </c>
      <c r="E3429" s="13">
        <f>D3429/383.3/12*1000</f>
        <v>1.2609792155839639</v>
      </c>
      <c r="F3429" s="18">
        <v>14.3</v>
      </c>
      <c r="G3429" s="13">
        <f>F3429/383.3/12*1000</f>
        <v>3.108965997043221</v>
      </c>
    </row>
    <row r="3430" spans="2:7" ht="12.75">
      <c r="B3430" s="32" t="s">
        <v>20</v>
      </c>
      <c r="C3430" s="32"/>
      <c r="D3430" s="18">
        <v>0</v>
      </c>
      <c r="E3430" s="13">
        <f>D3430/383.3/12*1000</f>
        <v>0</v>
      </c>
      <c r="F3430" s="18">
        <v>0</v>
      </c>
      <c r="G3430" s="13">
        <f>F3430/383.3/12*1000</f>
        <v>0</v>
      </c>
    </row>
    <row r="3431" spans="2:7" ht="12.75" customHeight="1">
      <c r="B3431" s="19" t="s">
        <v>21</v>
      </c>
      <c r="C3431" s="19"/>
      <c r="D3431" s="13">
        <f>D3432+D3434+D3433</f>
        <v>28.750000000000004</v>
      </c>
      <c r="E3431" s="13">
        <f>D3431/383.3/12*1000</f>
        <v>6.250543525523959</v>
      </c>
      <c r="F3431" s="13">
        <f>F3432+F3434+F3433</f>
        <v>31.56</v>
      </c>
      <c r="G3431" s="13">
        <f>F3431/383.3/12*1000</f>
        <v>6.861466214453431</v>
      </c>
    </row>
    <row r="3432" spans="2:7" ht="12.75">
      <c r="B3432" s="2"/>
      <c r="C3432" s="15" t="s">
        <v>22</v>
      </c>
      <c r="D3432" s="9">
        <v>24.1</v>
      </c>
      <c r="E3432" s="13">
        <f>D3432/383.3/12*1000</f>
        <v>5.239586050960953</v>
      </c>
      <c r="F3432" s="8">
        <f>17.19+5.24+0.75+2.32+0.31+2.38+2.8+0.04+0.27</f>
        <v>31.299999999999997</v>
      </c>
      <c r="G3432" s="13">
        <f>F3432/383.3/12*1000</f>
        <v>6.804939559961735</v>
      </c>
    </row>
    <row r="3433" spans="2:7" ht="12.75">
      <c r="B3433" s="2"/>
      <c r="C3433" s="15" t="s">
        <v>23</v>
      </c>
      <c r="D3433" s="9">
        <v>4.28</v>
      </c>
      <c r="E3433" s="13">
        <f>D3433/383.3/12*1000</f>
        <v>0.9305156970171319</v>
      </c>
      <c r="F3433" s="9">
        <v>0.26</v>
      </c>
      <c r="G3433" s="13">
        <f>F3433/383.3/12*1000</f>
        <v>0.05652665449169493</v>
      </c>
    </row>
    <row r="3434" spans="2:7" ht="12.75">
      <c r="B3434" s="2"/>
      <c r="C3434" s="20" t="s">
        <v>24</v>
      </c>
      <c r="D3434" s="9">
        <v>0.37</v>
      </c>
      <c r="E3434" s="13">
        <f>D3434/383.3/12*1000</f>
        <v>0.08044177754587355</v>
      </c>
      <c r="F3434" s="9">
        <v>0</v>
      </c>
      <c r="G3434" s="13">
        <f>F3434/383.3/12*1000</f>
        <v>0</v>
      </c>
    </row>
    <row r="3435" spans="2:7" ht="12.75">
      <c r="B3435" s="11" t="s">
        <v>25</v>
      </c>
      <c r="C3435" s="11"/>
      <c r="D3435" s="13">
        <v>2.7</v>
      </c>
      <c r="E3435" s="13">
        <f>D3435/383.3/12*1000</f>
        <v>0.5870075658752936</v>
      </c>
      <c r="F3435" s="13">
        <v>2.81</v>
      </c>
      <c r="G3435" s="13">
        <f>F3435/383.3/12*1000</f>
        <v>0.6109226889294721</v>
      </c>
    </row>
    <row r="3436" spans="2:7" ht="12.75">
      <c r="B3436" s="21" t="s">
        <v>26</v>
      </c>
      <c r="C3436" s="21"/>
      <c r="D3436" s="13">
        <v>14.2</v>
      </c>
      <c r="E3436" s="13">
        <f>D3436/383.3/12*1000</f>
        <v>3.087224976084877</v>
      </c>
      <c r="F3436" s="1">
        <f>2.58+11.82</f>
        <v>14.4</v>
      </c>
      <c r="G3436" s="13">
        <f>F3436/383.3/12*1000</f>
        <v>3.1307070180015653</v>
      </c>
    </row>
    <row r="3437" spans="2:7" ht="12.75">
      <c r="B3437" s="2"/>
      <c r="C3437" s="10" t="s">
        <v>28</v>
      </c>
      <c r="D3437" s="12">
        <f>D3426+D3427+D3431+D3435+D3436</f>
        <v>83.91000000000001</v>
      </c>
      <c r="E3437" s="12">
        <f>E3426+E3427+E3431+E3435+E3436</f>
        <v>18.24289068614662</v>
      </c>
      <c r="F3437" s="13">
        <f>F3426+F3427+F3431+F3435+F3436</f>
        <v>97.12000000000002</v>
      </c>
      <c r="G3437" s="13">
        <f>G3426+G3427+G3431+G3435+G3436</f>
        <v>21.114879554743894</v>
      </c>
    </row>
    <row r="3438" spans="2:7" ht="12.75">
      <c r="B3438" s="2">
        <v>4</v>
      </c>
      <c r="C3438" s="10" t="s">
        <v>29</v>
      </c>
      <c r="D3438" s="13">
        <v>8.39</v>
      </c>
      <c r="E3438" s="12">
        <v>1.81</v>
      </c>
      <c r="F3438" s="12"/>
      <c r="G3438" s="12"/>
    </row>
    <row r="3439" spans="2:7" ht="12.75">
      <c r="B3439" s="5">
        <v>5</v>
      </c>
      <c r="C3439" s="10" t="s">
        <v>13</v>
      </c>
      <c r="D3439" s="13">
        <f>D3437+D3438</f>
        <v>92.30000000000001</v>
      </c>
      <c r="E3439" s="13">
        <f>E3437+E3438</f>
        <v>20.05289068614662</v>
      </c>
      <c r="F3439" s="13">
        <f>F3437-F3423/1000</f>
        <v>3.314670000000021</v>
      </c>
      <c r="G3439" s="13"/>
    </row>
    <row r="3440" spans="2:7" ht="12.75">
      <c r="B3440" s="5"/>
      <c r="C3440" s="10"/>
      <c r="D3440" s="13"/>
      <c r="E3440" s="13"/>
      <c r="F3440" s="13"/>
      <c r="G3440" s="13"/>
    </row>
    <row r="3441" spans="2:7" ht="12.75">
      <c r="B3441" s="5"/>
      <c r="C3441" s="14" t="s">
        <v>127</v>
      </c>
      <c r="D3441" s="13"/>
      <c r="E3441" s="13"/>
      <c r="F3441" s="37">
        <v>80.7</v>
      </c>
      <c r="G3441" s="13"/>
    </row>
    <row r="3442" spans="2:7" ht="12.75">
      <c r="B3442" s="23" t="s">
        <v>39</v>
      </c>
      <c r="C3442" s="23"/>
      <c r="D3442" s="23"/>
      <c r="E3442" s="23"/>
      <c r="F3442" s="23"/>
      <c r="G3442" s="23"/>
    </row>
    <row r="3444" spans="2:7" ht="12.75">
      <c r="B3444" s="1" t="s">
        <v>0</v>
      </c>
      <c r="C3444" s="1"/>
      <c r="D3444" s="1"/>
      <c r="E3444" s="1"/>
      <c r="F3444" s="1"/>
      <c r="G3444" s="1"/>
    </row>
    <row r="3445" spans="2:7" ht="12.75">
      <c r="B3445" s="1" t="s">
        <v>51</v>
      </c>
      <c r="C3445" s="1"/>
      <c r="D3445" s="1"/>
      <c r="E3445" s="1"/>
      <c r="F3445" s="1"/>
      <c r="G3445" s="1"/>
    </row>
    <row r="3446" spans="2:7" ht="12.75">
      <c r="B3446" s="1" t="s">
        <v>204</v>
      </c>
      <c r="C3446" s="1"/>
      <c r="D3446" s="1"/>
      <c r="E3446" s="1"/>
      <c r="F3446" s="1"/>
      <c r="G3446" s="1"/>
    </row>
    <row r="3447" spans="2:7" ht="12.75" customHeight="1">
      <c r="B3447" s="2"/>
      <c r="C3447" s="2" t="s">
        <v>3</v>
      </c>
      <c r="D3447" s="3" t="s">
        <v>41</v>
      </c>
      <c r="E3447" s="3"/>
      <c r="F3447" s="4" t="s">
        <v>109</v>
      </c>
      <c r="G3447" s="4"/>
    </row>
    <row r="3448" spans="2:7" ht="12.75">
      <c r="B3448" s="2"/>
      <c r="C3448" s="2"/>
      <c r="D3448" s="3" t="s">
        <v>6</v>
      </c>
      <c r="E3448" s="3" t="s">
        <v>7</v>
      </c>
      <c r="F3448" s="3" t="s">
        <v>6</v>
      </c>
      <c r="G3448" s="3" t="s">
        <v>8</v>
      </c>
    </row>
    <row r="3449" spans="2:7" ht="12.75">
      <c r="B3449" s="5">
        <v>1</v>
      </c>
      <c r="C3449" s="6" t="s">
        <v>9</v>
      </c>
      <c r="D3449" s="13">
        <v>363.9</v>
      </c>
      <c r="E3449" s="13"/>
      <c r="F3449" s="13">
        <v>363.9</v>
      </c>
      <c r="G3449" s="13"/>
    </row>
    <row r="3450" spans="2:7" ht="12.75">
      <c r="B3450" s="5">
        <v>2</v>
      </c>
      <c r="C3450" s="7" t="s">
        <v>69</v>
      </c>
      <c r="D3450" s="8"/>
      <c r="E3450" s="8"/>
      <c r="F3450" s="8" t="s">
        <v>3</v>
      </c>
      <c r="G3450" s="8"/>
    </row>
    <row r="3451" spans="2:7" ht="12.75">
      <c r="B3451" s="5"/>
      <c r="C3451" s="2" t="s">
        <v>49</v>
      </c>
      <c r="D3451" s="9"/>
      <c r="E3451" s="9"/>
      <c r="F3451" s="9">
        <v>85518.72</v>
      </c>
      <c r="G3451" s="9"/>
    </row>
    <row r="3452" spans="2:7" ht="12.75">
      <c r="B3452" s="5"/>
      <c r="C3452" s="2" t="s">
        <v>50</v>
      </c>
      <c r="D3452" s="9"/>
      <c r="E3452" s="9"/>
      <c r="F3452" s="9">
        <v>90588.5</v>
      </c>
      <c r="G3452" s="9"/>
    </row>
    <row r="3453" spans="2:7" ht="12.75">
      <c r="B3453" s="5"/>
      <c r="C3453" s="2" t="s">
        <v>13</v>
      </c>
      <c r="D3453" s="9"/>
      <c r="E3453" s="9"/>
      <c r="F3453" s="9">
        <f>F3452-F3451</f>
        <v>5069.779999999999</v>
      </c>
      <c r="G3453" s="9"/>
    </row>
    <row r="3454" spans="2:7" ht="12.75">
      <c r="B3454" s="5">
        <v>3</v>
      </c>
      <c r="C3454" s="10" t="s">
        <v>14</v>
      </c>
      <c r="D3454" s="1" t="s">
        <v>15</v>
      </c>
      <c r="E3454" s="1"/>
      <c r="F3454" s="1" t="s">
        <v>15</v>
      </c>
      <c r="G3454" s="1"/>
    </row>
    <row r="3455" spans="2:7" ht="12.75">
      <c r="B3455" s="11" t="s">
        <v>16</v>
      </c>
      <c r="C3455" s="11"/>
      <c r="D3455" s="13">
        <v>11.56</v>
      </c>
      <c r="E3455" s="13">
        <f>D3455/363.9/12*1000</f>
        <v>2.6472474122927543</v>
      </c>
      <c r="F3455" s="13">
        <v>11.55</v>
      </c>
      <c r="G3455" s="13">
        <f>F3455/363.9/12*1000</f>
        <v>2.644957405880737</v>
      </c>
    </row>
    <row r="3456" spans="2:7" ht="12.75" customHeight="1">
      <c r="B3456" s="14" t="s">
        <v>17</v>
      </c>
      <c r="C3456" s="14"/>
      <c r="D3456" s="1">
        <f>D3457+D3458+D3459</f>
        <v>22.889999999999997</v>
      </c>
      <c r="E3456" s="13">
        <f>D3456/363.9/12*1000</f>
        <v>5.241824677109096</v>
      </c>
      <c r="F3456" s="12">
        <f>F3457+F3458+F3459</f>
        <v>23.19</v>
      </c>
      <c r="G3456" s="13">
        <f>F3456/363.9/12*1000</f>
        <v>5.310524869469636</v>
      </c>
    </row>
    <row r="3457" spans="2:7" ht="12.75">
      <c r="B3457" s="2"/>
      <c r="C3457" s="15" t="s">
        <v>18</v>
      </c>
      <c r="D3457" s="9">
        <v>18.99</v>
      </c>
      <c r="E3457" s="13">
        <f>D3457/363.9/12*1000</f>
        <v>4.348722176422094</v>
      </c>
      <c r="F3457" s="9">
        <f>6.98+0.33+11.68</f>
        <v>18.990000000000002</v>
      </c>
      <c r="G3457" s="13">
        <f>F3457/363.9/12*1000</f>
        <v>4.348722176422095</v>
      </c>
    </row>
    <row r="3458" spans="2:7" ht="12.75">
      <c r="B3458" s="2"/>
      <c r="C3458" s="15" t="s">
        <v>19</v>
      </c>
      <c r="D3458" s="18">
        <v>3.9</v>
      </c>
      <c r="E3458" s="13">
        <f>D3458/363.9/12*1000</f>
        <v>0.8931025006870019</v>
      </c>
      <c r="F3458" s="18">
        <v>0</v>
      </c>
      <c r="G3458" s="13">
        <f>F3458/363.9/12*1000</f>
        <v>0</v>
      </c>
    </row>
    <row r="3459" spans="2:7" ht="12.75">
      <c r="B3459" s="32" t="s">
        <v>20</v>
      </c>
      <c r="C3459" s="32"/>
      <c r="D3459" s="18">
        <v>0</v>
      </c>
      <c r="E3459" s="13">
        <f>D3459/363.9/12*1000</f>
        <v>0</v>
      </c>
      <c r="F3459" s="18">
        <v>4.2</v>
      </c>
      <c r="G3459" s="13">
        <f>F3459/363.9/12*1000</f>
        <v>0.9618026930475407</v>
      </c>
    </row>
    <row r="3460" spans="2:7" ht="12.75" customHeight="1">
      <c r="B3460" s="19" t="s">
        <v>21</v>
      </c>
      <c r="C3460" s="19"/>
      <c r="D3460" s="13">
        <f>D3461+D3463+D3462</f>
        <v>27.29</v>
      </c>
      <c r="E3460" s="13">
        <f>D3460/363.9/12*1000</f>
        <v>6.2494274983969955</v>
      </c>
      <c r="F3460" s="13">
        <f>F3461+F3463+F3462</f>
        <v>3.0999999999999996</v>
      </c>
      <c r="G3460" s="13">
        <f>F3460/363.9/12*1000</f>
        <v>0.7099019877255656</v>
      </c>
    </row>
    <row r="3461" spans="2:7" ht="12.75">
      <c r="B3461" s="2"/>
      <c r="C3461" s="15" t="s">
        <v>205</v>
      </c>
      <c r="D3461" s="9">
        <v>22.88</v>
      </c>
      <c r="E3461" s="13">
        <f>D3461/363.9/12*1000</f>
        <v>5.239534670697078</v>
      </c>
      <c r="F3461" s="9">
        <v>2.8</v>
      </c>
      <c r="G3461" s="13">
        <f>F3461/363.9/12*1000</f>
        <v>0.6412017953650271</v>
      </c>
    </row>
    <row r="3462" spans="2:7" ht="12.75">
      <c r="B3462" s="2"/>
      <c r="C3462" s="15" t="s">
        <v>23</v>
      </c>
      <c r="D3462" s="9">
        <v>4.06</v>
      </c>
      <c r="E3462" s="13">
        <f>D3462/363.9/12*1000</f>
        <v>0.9297426032792891</v>
      </c>
      <c r="F3462" s="9">
        <v>0.30000000000000004</v>
      </c>
      <c r="G3462" s="13">
        <f>F3462/363.9/12*1000</f>
        <v>0.06870019236053862</v>
      </c>
    </row>
    <row r="3463" spans="2:7" ht="12.75">
      <c r="B3463" s="2"/>
      <c r="C3463" s="20" t="s">
        <v>24</v>
      </c>
      <c r="D3463" s="9">
        <v>0.35</v>
      </c>
      <c r="E3463" s="13">
        <f>D3463/363.9/12*1000</f>
        <v>0.08015022442062839</v>
      </c>
      <c r="F3463" s="9">
        <v>0</v>
      </c>
      <c r="G3463" s="13">
        <f>F3463/363.9/12*1000</f>
        <v>0</v>
      </c>
    </row>
    <row r="3464" spans="2:7" ht="12.75">
      <c r="B3464" s="11" t="s">
        <v>25</v>
      </c>
      <c r="C3464" s="11"/>
      <c r="D3464" s="13">
        <v>2.58</v>
      </c>
      <c r="E3464" s="13">
        <f>D3464/363.9/12*1000</f>
        <v>0.590821654300632</v>
      </c>
      <c r="F3464" s="13">
        <v>2.72</v>
      </c>
      <c r="G3464" s="13">
        <f>F3464/363.9/12*1000</f>
        <v>0.6228817440688834</v>
      </c>
    </row>
    <row r="3465" spans="2:7" ht="12.75">
      <c r="B3465" s="21" t="s">
        <v>26</v>
      </c>
      <c r="C3465" s="21"/>
      <c r="D3465" s="13">
        <v>13.5</v>
      </c>
      <c r="E3465" s="13">
        <f>D3465/363.9/12*1000</f>
        <v>3.0915086562242378</v>
      </c>
      <c r="F3465" s="1">
        <v>11.22</v>
      </c>
      <c r="G3465" s="13">
        <f>F3465/363.9/12*1000</f>
        <v>2.569387194284144</v>
      </c>
    </row>
    <row r="3466" spans="2:7" ht="12.75">
      <c r="B3466" s="2"/>
      <c r="C3466" s="10" t="s">
        <v>28</v>
      </c>
      <c r="D3466" s="12">
        <f>D3455+D3456+D3460+D3464+D3465</f>
        <v>77.82</v>
      </c>
      <c r="E3466" s="12">
        <f>E3455+E3456+E3460+E3464+E3465</f>
        <v>17.820829898323716</v>
      </c>
      <c r="F3466" s="13">
        <f>F3455+F3456+F3460+F3464+F3465</f>
        <v>51.78</v>
      </c>
      <c r="G3466" s="13">
        <f>G3455+G3456+G3460+G3464+G3465</f>
        <v>11.857653201428963</v>
      </c>
    </row>
    <row r="3467" spans="2:7" ht="12.75">
      <c r="B3467" s="2">
        <v>4</v>
      </c>
      <c r="C3467" s="10" t="s">
        <v>29</v>
      </c>
      <c r="D3467" s="13">
        <v>7.78</v>
      </c>
      <c r="E3467" s="13">
        <v>1.78</v>
      </c>
      <c r="F3467" s="12"/>
      <c r="G3467" s="12"/>
    </row>
    <row r="3468" spans="2:7" ht="12.75">
      <c r="B3468" s="5">
        <v>5</v>
      </c>
      <c r="C3468" s="10" t="s">
        <v>13</v>
      </c>
      <c r="D3468" s="13">
        <f>D3466+D3467</f>
        <v>85.6</v>
      </c>
      <c r="E3468" s="13">
        <f>E3466+E3467</f>
        <v>19.600829898323717</v>
      </c>
      <c r="F3468" s="13">
        <f>F3466-F3452/1000</f>
        <v>-38.808499999999995</v>
      </c>
      <c r="G3468" s="13"/>
    </row>
    <row r="3469" spans="2:7" ht="12.75">
      <c r="B3469" s="5"/>
      <c r="C3469" s="10"/>
      <c r="D3469" s="13"/>
      <c r="E3469" s="13"/>
      <c r="F3469" s="13"/>
      <c r="G3469" s="13"/>
    </row>
    <row r="3470" spans="2:7" ht="12.75">
      <c r="B3470" s="5"/>
      <c r="C3470" s="14" t="s">
        <v>147</v>
      </c>
      <c r="D3470" s="13"/>
      <c r="E3470" s="13"/>
      <c r="F3470" s="37">
        <v>-107.5</v>
      </c>
      <c r="G3470" s="13"/>
    </row>
    <row r="3471" spans="2:7" ht="12.75">
      <c r="B3471" s="23" t="s">
        <v>39</v>
      </c>
      <c r="C3471" s="23"/>
      <c r="D3471" s="23"/>
      <c r="E3471" s="23"/>
      <c r="F3471" s="23"/>
      <c r="G3471" s="23"/>
    </row>
  </sheetData>
  <sheetProtection selectLockedCells="1" selectUnlockedCells="1"/>
  <mergeCells count="1361">
    <mergeCell ref="B2:G2"/>
    <mergeCell ref="B3:G3"/>
    <mergeCell ref="B4:G4"/>
    <mergeCell ref="D5:E5"/>
    <mergeCell ref="F5:G5"/>
    <mergeCell ref="D7:E7"/>
    <mergeCell ref="F7:G7"/>
    <mergeCell ref="B13:C13"/>
    <mergeCell ref="B14:C14"/>
    <mergeCell ref="B17:C17"/>
    <mergeCell ref="B18:C18"/>
    <mergeCell ref="B22:C22"/>
    <mergeCell ref="B23:C23"/>
    <mergeCell ref="B40:G40"/>
    <mergeCell ref="B43:G43"/>
    <mergeCell ref="B44:G44"/>
    <mergeCell ref="B45:G45"/>
    <mergeCell ref="D46:E46"/>
    <mergeCell ref="F46:G46"/>
    <mergeCell ref="D48:E48"/>
    <mergeCell ref="F48:G48"/>
    <mergeCell ref="B54:C54"/>
    <mergeCell ref="B55:C55"/>
    <mergeCell ref="B58:C58"/>
    <mergeCell ref="B59:C59"/>
    <mergeCell ref="B63:C63"/>
    <mergeCell ref="B64:C64"/>
    <mergeCell ref="B71:C71"/>
    <mergeCell ref="B85:G85"/>
    <mergeCell ref="B86:G86"/>
    <mergeCell ref="B87:G87"/>
    <mergeCell ref="B88:G88"/>
    <mergeCell ref="D89:E89"/>
    <mergeCell ref="F89:G89"/>
    <mergeCell ref="D91:E91"/>
    <mergeCell ref="F91:G91"/>
    <mergeCell ref="B97:C97"/>
    <mergeCell ref="B98:C98"/>
    <mergeCell ref="B101:C101"/>
    <mergeCell ref="B102:C102"/>
    <mergeCell ref="B106:C106"/>
    <mergeCell ref="B107:C107"/>
    <mergeCell ref="B112:G112"/>
    <mergeCell ref="B114:G114"/>
    <mergeCell ref="B115:G115"/>
    <mergeCell ref="B116:G116"/>
    <mergeCell ref="D117:E117"/>
    <mergeCell ref="F117:G117"/>
    <mergeCell ref="D119:E119"/>
    <mergeCell ref="F119:G119"/>
    <mergeCell ref="B125:C125"/>
    <mergeCell ref="B126:C126"/>
    <mergeCell ref="B129:C129"/>
    <mergeCell ref="B130:C130"/>
    <mergeCell ref="B134:C134"/>
    <mergeCell ref="B135:C135"/>
    <mergeCell ref="B140:G140"/>
    <mergeCell ref="B143:G143"/>
    <mergeCell ref="B144:G144"/>
    <mergeCell ref="B145:G145"/>
    <mergeCell ref="D146:E146"/>
    <mergeCell ref="F146:G146"/>
    <mergeCell ref="D148:E148"/>
    <mergeCell ref="F148:G148"/>
    <mergeCell ref="B154:C154"/>
    <mergeCell ref="B155:C155"/>
    <mergeCell ref="B158:C158"/>
    <mergeCell ref="B159:C159"/>
    <mergeCell ref="B163:C163"/>
    <mergeCell ref="B164:C164"/>
    <mergeCell ref="B169:C169"/>
    <mergeCell ref="B183:G183"/>
    <mergeCell ref="B185:C185"/>
    <mergeCell ref="B186:G186"/>
    <mergeCell ref="B187:G187"/>
    <mergeCell ref="B188:G188"/>
    <mergeCell ref="D189:E189"/>
    <mergeCell ref="F189:G189"/>
    <mergeCell ref="D191:E191"/>
    <mergeCell ref="F191:G191"/>
    <mergeCell ref="B197:C197"/>
    <mergeCell ref="B198:C198"/>
    <mergeCell ref="B201:C201"/>
    <mergeCell ref="B202:C202"/>
    <mergeCell ref="B206:C206"/>
    <mergeCell ref="B207:C207"/>
    <mergeCell ref="B212:C212"/>
    <mergeCell ref="B227:G227"/>
    <mergeCell ref="B230:G230"/>
    <mergeCell ref="B231:G231"/>
    <mergeCell ref="B232:G232"/>
    <mergeCell ref="D233:E233"/>
    <mergeCell ref="F233:G233"/>
    <mergeCell ref="D235:E235"/>
    <mergeCell ref="F235:G235"/>
    <mergeCell ref="B241:C241"/>
    <mergeCell ref="B242:C242"/>
    <mergeCell ref="B245:C245"/>
    <mergeCell ref="B246:C246"/>
    <mergeCell ref="B250:C250"/>
    <mergeCell ref="B251:C251"/>
    <mergeCell ref="B256:C256"/>
    <mergeCell ref="B270:G270"/>
    <mergeCell ref="B272:C272"/>
    <mergeCell ref="B273:G273"/>
    <mergeCell ref="B274:G274"/>
    <mergeCell ref="B275:G275"/>
    <mergeCell ref="D276:E276"/>
    <mergeCell ref="F276:G276"/>
    <mergeCell ref="D278:E278"/>
    <mergeCell ref="F278:G278"/>
    <mergeCell ref="B284:C284"/>
    <mergeCell ref="B285:C285"/>
    <mergeCell ref="B288:C288"/>
    <mergeCell ref="B289:C289"/>
    <mergeCell ref="B293:C293"/>
    <mergeCell ref="B294:C294"/>
    <mergeCell ref="B300:G300"/>
    <mergeCell ref="B302:G302"/>
    <mergeCell ref="B303:G303"/>
    <mergeCell ref="B304:G304"/>
    <mergeCell ref="D305:E305"/>
    <mergeCell ref="F305:G305"/>
    <mergeCell ref="D307:E307"/>
    <mergeCell ref="F307:G307"/>
    <mergeCell ref="B313:C313"/>
    <mergeCell ref="B314:C314"/>
    <mergeCell ref="B317:C317"/>
    <mergeCell ref="B318:C318"/>
    <mergeCell ref="B322:C322"/>
    <mergeCell ref="B323:C323"/>
    <mergeCell ref="B329:G329"/>
    <mergeCell ref="B331:G331"/>
    <mergeCell ref="B332:G332"/>
    <mergeCell ref="B333:G333"/>
    <mergeCell ref="D334:E334"/>
    <mergeCell ref="F334:G334"/>
    <mergeCell ref="D336:E336"/>
    <mergeCell ref="F336:G336"/>
    <mergeCell ref="B342:C342"/>
    <mergeCell ref="B343:C343"/>
    <mergeCell ref="B346:C346"/>
    <mergeCell ref="B347:C347"/>
    <mergeCell ref="B351:C351"/>
    <mergeCell ref="B352:C352"/>
    <mergeCell ref="B358:G358"/>
    <mergeCell ref="B361:G361"/>
    <mergeCell ref="B362:G362"/>
    <mergeCell ref="B363:G363"/>
    <mergeCell ref="D364:E364"/>
    <mergeCell ref="F364:G364"/>
    <mergeCell ref="D366:E366"/>
    <mergeCell ref="F366:G366"/>
    <mergeCell ref="B372:C372"/>
    <mergeCell ref="B373:C373"/>
    <mergeCell ref="B376:C376"/>
    <mergeCell ref="B377:C377"/>
    <mergeCell ref="B381:C381"/>
    <mergeCell ref="B382:C382"/>
    <mergeCell ref="B388:G388"/>
    <mergeCell ref="B390:G390"/>
    <mergeCell ref="B391:G391"/>
    <mergeCell ref="B392:G392"/>
    <mergeCell ref="D393:E393"/>
    <mergeCell ref="F393:G393"/>
    <mergeCell ref="D395:E395"/>
    <mergeCell ref="F395:G395"/>
    <mergeCell ref="B401:C401"/>
    <mergeCell ref="B402:C402"/>
    <mergeCell ref="B405:C405"/>
    <mergeCell ref="B406:C406"/>
    <mergeCell ref="B410:C410"/>
    <mergeCell ref="B411:C411"/>
    <mergeCell ref="B417:G417"/>
    <mergeCell ref="B419:G419"/>
    <mergeCell ref="B420:G420"/>
    <mergeCell ref="B421:G421"/>
    <mergeCell ref="D422:E422"/>
    <mergeCell ref="F422:G422"/>
    <mergeCell ref="D424:E424"/>
    <mergeCell ref="F424:G424"/>
    <mergeCell ref="B430:C430"/>
    <mergeCell ref="B431:C431"/>
    <mergeCell ref="B434:C434"/>
    <mergeCell ref="B435:C435"/>
    <mergeCell ref="B439:C439"/>
    <mergeCell ref="B440:C440"/>
    <mergeCell ref="B445:G445"/>
    <mergeCell ref="B448:G448"/>
    <mergeCell ref="B449:G449"/>
    <mergeCell ref="B450:G450"/>
    <mergeCell ref="D451:E451"/>
    <mergeCell ref="F451:G451"/>
    <mergeCell ref="D453:E453"/>
    <mergeCell ref="F453:G453"/>
    <mergeCell ref="B459:C459"/>
    <mergeCell ref="B460:C460"/>
    <mergeCell ref="B463:C463"/>
    <mergeCell ref="B464:C464"/>
    <mergeCell ref="B469:C469"/>
    <mergeCell ref="B470:C470"/>
    <mergeCell ref="B475:C475"/>
    <mergeCell ref="B492:G492"/>
    <mergeCell ref="B494:G494"/>
    <mergeCell ref="B495:G495"/>
    <mergeCell ref="B496:G496"/>
    <mergeCell ref="D497:E497"/>
    <mergeCell ref="F497:G497"/>
    <mergeCell ref="D499:E499"/>
    <mergeCell ref="F499:G499"/>
    <mergeCell ref="B505:C505"/>
    <mergeCell ref="B506:C506"/>
    <mergeCell ref="B509:C509"/>
    <mergeCell ref="B510:C510"/>
    <mergeCell ref="B514:C514"/>
    <mergeCell ref="B515:C515"/>
    <mergeCell ref="B520:C520"/>
    <mergeCell ref="B537:G537"/>
    <mergeCell ref="B539:G539"/>
    <mergeCell ref="B540:G540"/>
    <mergeCell ref="B541:G541"/>
    <mergeCell ref="D542:E542"/>
    <mergeCell ref="F542:G542"/>
    <mergeCell ref="D544:E544"/>
    <mergeCell ref="F544:G544"/>
    <mergeCell ref="B550:C550"/>
    <mergeCell ref="B551:C551"/>
    <mergeCell ref="B554:C554"/>
    <mergeCell ref="B555:C555"/>
    <mergeCell ref="B559:C559"/>
    <mergeCell ref="B560:C560"/>
    <mergeCell ref="B566:C566"/>
    <mergeCell ref="B583:G583"/>
    <mergeCell ref="B586:G586"/>
    <mergeCell ref="B587:G587"/>
    <mergeCell ref="B588:G588"/>
    <mergeCell ref="D589:E589"/>
    <mergeCell ref="F589:G589"/>
    <mergeCell ref="D591:E591"/>
    <mergeCell ref="F591:G591"/>
    <mergeCell ref="B597:C597"/>
    <mergeCell ref="B598:C598"/>
    <mergeCell ref="B601:C601"/>
    <mergeCell ref="B602:C602"/>
    <mergeCell ref="B606:C606"/>
    <mergeCell ref="B607:C607"/>
    <mergeCell ref="B614:G614"/>
    <mergeCell ref="B616:G616"/>
    <mergeCell ref="B617:G617"/>
    <mergeCell ref="B618:G618"/>
    <mergeCell ref="D619:E619"/>
    <mergeCell ref="F619:G619"/>
    <mergeCell ref="D621:E621"/>
    <mergeCell ref="F621:G621"/>
    <mergeCell ref="B627:C627"/>
    <mergeCell ref="B628:C628"/>
    <mergeCell ref="B631:C631"/>
    <mergeCell ref="B632:C632"/>
    <mergeCell ref="B636:C636"/>
    <mergeCell ref="B637:C637"/>
    <mergeCell ref="B642:C642"/>
    <mergeCell ref="B656:G656"/>
    <mergeCell ref="B658:G658"/>
    <mergeCell ref="B659:G659"/>
    <mergeCell ref="B660:G660"/>
    <mergeCell ref="D661:E661"/>
    <mergeCell ref="F661:G661"/>
    <mergeCell ref="D663:E663"/>
    <mergeCell ref="F663:G663"/>
    <mergeCell ref="B669:C669"/>
    <mergeCell ref="B670:C670"/>
    <mergeCell ref="B673:C673"/>
    <mergeCell ref="B674:C674"/>
    <mergeCell ref="B678:C678"/>
    <mergeCell ref="B679:C679"/>
    <mergeCell ref="B685:G685"/>
    <mergeCell ref="B687:G687"/>
    <mergeCell ref="B688:G688"/>
    <mergeCell ref="B689:G689"/>
    <mergeCell ref="D690:E690"/>
    <mergeCell ref="F690:G690"/>
    <mergeCell ref="D692:E692"/>
    <mergeCell ref="F692:G692"/>
    <mergeCell ref="B698:C698"/>
    <mergeCell ref="B699:C699"/>
    <mergeCell ref="B702:C702"/>
    <mergeCell ref="B703:C703"/>
    <mergeCell ref="B707:C707"/>
    <mergeCell ref="B708:C708"/>
    <mergeCell ref="B714:G714"/>
    <mergeCell ref="B716:G716"/>
    <mergeCell ref="B717:G717"/>
    <mergeCell ref="B718:G718"/>
    <mergeCell ref="D719:E719"/>
    <mergeCell ref="F719:G719"/>
    <mergeCell ref="D721:E721"/>
    <mergeCell ref="F721:G721"/>
    <mergeCell ref="B727:C727"/>
    <mergeCell ref="B728:C728"/>
    <mergeCell ref="B731:C731"/>
    <mergeCell ref="B732:C732"/>
    <mergeCell ref="B736:C736"/>
    <mergeCell ref="B737:C737"/>
    <mergeCell ref="B743:C743"/>
    <mergeCell ref="B760:G760"/>
    <mergeCell ref="B762:G762"/>
    <mergeCell ref="B763:G763"/>
    <mergeCell ref="B764:G764"/>
    <mergeCell ref="D765:E765"/>
    <mergeCell ref="F765:G765"/>
    <mergeCell ref="D767:E767"/>
    <mergeCell ref="F767:G767"/>
    <mergeCell ref="B773:C773"/>
    <mergeCell ref="B774:C774"/>
    <mergeCell ref="B777:C777"/>
    <mergeCell ref="B778:C778"/>
    <mergeCell ref="B782:C782"/>
    <mergeCell ref="B783:C783"/>
    <mergeCell ref="B788:C788"/>
    <mergeCell ref="B805:G805"/>
    <mergeCell ref="B807:G807"/>
    <mergeCell ref="B808:G808"/>
    <mergeCell ref="B809:G809"/>
    <mergeCell ref="D810:E810"/>
    <mergeCell ref="F810:G810"/>
    <mergeCell ref="D812:E812"/>
    <mergeCell ref="F812:G812"/>
    <mergeCell ref="B818:C818"/>
    <mergeCell ref="B819:C819"/>
    <mergeCell ref="B822:C822"/>
    <mergeCell ref="B823:C823"/>
    <mergeCell ref="B827:C827"/>
    <mergeCell ref="B828:C828"/>
    <mergeCell ref="B833:C833"/>
    <mergeCell ref="B850:G850"/>
    <mergeCell ref="B852:G852"/>
    <mergeCell ref="B853:G853"/>
    <mergeCell ref="B854:G854"/>
    <mergeCell ref="D855:E855"/>
    <mergeCell ref="F855:G855"/>
    <mergeCell ref="D857:E857"/>
    <mergeCell ref="F857:G857"/>
    <mergeCell ref="B863:C863"/>
    <mergeCell ref="B864:C864"/>
    <mergeCell ref="B867:C867"/>
    <mergeCell ref="B868:C868"/>
    <mergeCell ref="B872:C872"/>
    <mergeCell ref="B873:C873"/>
    <mergeCell ref="B879:C879"/>
    <mergeCell ref="B896:G896"/>
    <mergeCell ref="B898:G898"/>
    <mergeCell ref="B899:G899"/>
    <mergeCell ref="B900:G900"/>
    <mergeCell ref="D901:E901"/>
    <mergeCell ref="F901:G901"/>
    <mergeCell ref="D903:E903"/>
    <mergeCell ref="F903:G903"/>
    <mergeCell ref="B909:C909"/>
    <mergeCell ref="B910:C910"/>
    <mergeCell ref="B913:C913"/>
    <mergeCell ref="B914:C914"/>
    <mergeCell ref="B918:C918"/>
    <mergeCell ref="B919:C919"/>
    <mergeCell ref="B925:G925"/>
    <mergeCell ref="B927:G927"/>
    <mergeCell ref="B928:G928"/>
    <mergeCell ref="B929:G929"/>
    <mergeCell ref="D930:E930"/>
    <mergeCell ref="F930:G930"/>
    <mergeCell ref="D932:E932"/>
    <mergeCell ref="F932:G932"/>
    <mergeCell ref="B938:C938"/>
    <mergeCell ref="B939:C939"/>
    <mergeCell ref="B942:C942"/>
    <mergeCell ref="B943:C943"/>
    <mergeCell ref="B947:C947"/>
    <mergeCell ref="B948:C948"/>
    <mergeCell ref="B954:G954"/>
    <mergeCell ref="B956:G956"/>
    <mergeCell ref="B957:G957"/>
    <mergeCell ref="B958:G958"/>
    <mergeCell ref="D959:E959"/>
    <mergeCell ref="F959:G959"/>
    <mergeCell ref="D961:E961"/>
    <mergeCell ref="F961:G961"/>
    <mergeCell ref="B967:C967"/>
    <mergeCell ref="B968:C968"/>
    <mergeCell ref="B971:C971"/>
    <mergeCell ref="B972:C972"/>
    <mergeCell ref="B976:C976"/>
    <mergeCell ref="B977:C977"/>
    <mergeCell ref="B983:G983"/>
    <mergeCell ref="B985:G985"/>
    <mergeCell ref="B986:G986"/>
    <mergeCell ref="B987:G987"/>
    <mergeCell ref="D988:E988"/>
    <mergeCell ref="F988:G988"/>
    <mergeCell ref="D990:E990"/>
    <mergeCell ref="F990:G990"/>
    <mergeCell ref="B996:C996"/>
    <mergeCell ref="B997:C997"/>
    <mergeCell ref="B1000:C1000"/>
    <mergeCell ref="B1001:C1001"/>
    <mergeCell ref="B1005:C1005"/>
    <mergeCell ref="B1006:C1006"/>
    <mergeCell ref="B1012:C1012"/>
    <mergeCell ref="B1026:G1026"/>
    <mergeCell ref="B1028:G1028"/>
    <mergeCell ref="B1029:G1029"/>
    <mergeCell ref="B1030:G1030"/>
    <mergeCell ref="D1031:E1031"/>
    <mergeCell ref="F1031:G1031"/>
    <mergeCell ref="D1033:E1033"/>
    <mergeCell ref="F1033:G1033"/>
    <mergeCell ref="B1039:C1039"/>
    <mergeCell ref="B1040:C1040"/>
    <mergeCell ref="B1043:C1043"/>
    <mergeCell ref="B1044:C1044"/>
    <mergeCell ref="B1048:C1048"/>
    <mergeCell ref="B1049:C1049"/>
    <mergeCell ref="B1054:C1054"/>
    <mergeCell ref="B1068:G1068"/>
    <mergeCell ref="B1070:G1070"/>
    <mergeCell ref="B1071:G1071"/>
    <mergeCell ref="B1072:G1072"/>
    <mergeCell ref="D1073:E1073"/>
    <mergeCell ref="F1073:G1073"/>
    <mergeCell ref="D1075:E1075"/>
    <mergeCell ref="F1075:G1075"/>
    <mergeCell ref="B1081:C1081"/>
    <mergeCell ref="B1082:C1082"/>
    <mergeCell ref="B1085:C1085"/>
    <mergeCell ref="B1086:C1086"/>
    <mergeCell ref="B1090:C1090"/>
    <mergeCell ref="B1091:C1091"/>
    <mergeCell ref="B1096:C1096"/>
    <mergeCell ref="B1110:G1110"/>
    <mergeCell ref="B1112:G1112"/>
    <mergeCell ref="B1113:G1113"/>
    <mergeCell ref="B1114:G1114"/>
    <mergeCell ref="D1115:E1115"/>
    <mergeCell ref="F1115:G1115"/>
    <mergeCell ref="D1117:E1117"/>
    <mergeCell ref="F1117:G1117"/>
    <mergeCell ref="B1123:C1123"/>
    <mergeCell ref="B1124:C1124"/>
    <mergeCell ref="B1127:C1127"/>
    <mergeCell ref="B1128:C1128"/>
    <mergeCell ref="B1132:C1132"/>
    <mergeCell ref="B1133:C1133"/>
    <mergeCell ref="B1139:G1139"/>
    <mergeCell ref="B1141:G1141"/>
    <mergeCell ref="B1142:G1142"/>
    <mergeCell ref="B1143:G1143"/>
    <mergeCell ref="D1144:E1144"/>
    <mergeCell ref="F1144:G1144"/>
    <mergeCell ref="D1146:E1146"/>
    <mergeCell ref="F1146:G1146"/>
    <mergeCell ref="B1152:C1152"/>
    <mergeCell ref="B1153:C1153"/>
    <mergeCell ref="B1156:C1156"/>
    <mergeCell ref="B1157:C1157"/>
    <mergeCell ref="B1161:C1161"/>
    <mergeCell ref="B1162:C1162"/>
    <mergeCell ref="B1169:G1169"/>
    <mergeCell ref="B1172:G1172"/>
    <mergeCell ref="B1173:G1173"/>
    <mergeCell ref="B1174:G1174"/>
    <mergeCell ref="D1175:E1175"/>
    <mergeCell ref="F1175:G1175"/>
    <mergeCell ref="D1177:E1177"/>
    <mergeCell ref="F1177:G1177"/>
    <mergeCell ref="B1183:C1183"/>
    <mergeCell ref="B1184:C1184"/>
    <mergeCell ref="B1187:C1187"/>
    <mergeCell ref="B1188:C1188"/>
    <mergeCell ref="B1192:C1192"/>
    <mergeCell ref="B1193:C1193"/>
    <mergeCell ref="B1198:C1198"/>
    <mergeCell ref="B1212:G1212"/>
    <mergeCell ref="B1214:G1214"/>
    <mergeCell ref="B1215:G1215"/>
    <mergeCell ref="B1216:G1216"/>
    <mergeCell ref="D1217:E1217"/>
    <mergeCell ref="F1217:G1217"/>
    <mergeCell ref="D1219:E1219"/>
    <mergeCell ref="F1219:G1219"/>
    <mergeCell ref="B1225:C1225"/>
    <mergeCell ref="B1226:C1226"/>
    <mergeCell ref="B1229:C1229"/>
    <mergeCell ref="B1230:C1230"/>
    <mergeCell ref="B1234:C1234"/>
    <mergeCell ref="B1235:C1235"/>
    <mergeCell ref="B1248:G1248"/>
    <mergeCell ref="B1250:G1250"/>
    <mergeCell ref="B1251:G1251"/>
    <mergeCell ref="B1252:G1252"/>
    <mergeCell ref="D1253:E1253"/>
    <mergeCell ref="F1253:G1253"/>
    <mergeCell ref="D1255:E1255"/>
    <mergeCell ref="F1255:G1255"/>
    <mergeCell ref="B1261:C1261"/>
    <mergeCell ref="B1262:C1262"/>
    <mergeCell ref="B1265:C1265"/>
    <mergeCell ref="B1266:C1266"/>
    <mergeCell ref="B1270:C1270"/>
    <mergeCell ref="B1271:C1271"/>
    <mergeCell ref="B1283:G1283"/>
    <mergeCell ref="B1285:G1285"/>
    <mergeCell ref="B1286:G1286"/>
    <mergeCell ref="B1287:G1287"/>
    <mergeCell ref="D1288:E1288"/>
    <mergeCell ref="F1288:G1288"/>
    <mergeCell ref="D1290:E1290"/>
    <mergeCell ref="F1290:G1290"/>
    <mergeCell ref="B1296:C1296"/>
    <mergeCell ref="B1297:C1297"/>
    <mergeCell ref="B1300:C1300"/>
    <mergeCell ref="B1301:C1301"/>
    <mergeCell ref="B1305:C1305"/>
    <mergeCell ref="B1306:C1306"/>
    <mergeCell ref="B1312:G1312"/>
    <mergeCell ref="B1314:G1314"/>
    <mergeCell ref="B1315:G1315"/>
    <mergeCell ref="B1316:G1316"/>
    <mergeCell ref="D1317:E1317"/>
    <mergeCell ref="F1317:G1317"/>
    <mergeCell ref="D1319:E1319"/>
    <mergeCell ref="F1319:G1319"/>
    <mergeCell ref="B1325:C1325"/>
    <mergeCell ref="B1326:C1326"/>
    <mergeCell ref="B1329:C1329"/>
    <mergeCell ref="B1330:C1330"/>
    <mergeCell ref="B1334:C1334"/>
    <mergeCell ref="B1335:C1335"/>
    <mergeCell ref="B1340:C1340"/>
    <mergeCell ref="B1354:G1354"/>
    <mergeCell ref="B1356:G1356"/>
    <mergeCell ref="B1357:G1357"/>
    <mergeCell ref="B1358:G1358"/>
    <mergeCell ref="D1359:E1359"/>
    <mergeCell ref="F1359:G1359"/>
    <mergeCell ref="D1361:E1361"/>
    <mergeCell ref="F1361:G1361"/>
    <mergeCell ref="B1367:C1367"/>
    <mergeCell ref="B1368:C1368"/>
    <mergeCell ref="B1371:C1371"/>
    <mergeCell ref="B1372:C1372"/>
    <mergeCell ref="B1376:C1376"/>
    <mergeCell ref="B1377:C1377"/>
    <mergeCell ref="B1382:C1382"/>
    <mergeCell ref="B1396:G1396"/>
    <mergeCell ref="B1398:G1398"/>
    <mergeCell ref="B1399:G1399"/>
    <mergeCell ref="B1400:G1400"/>
    <mergeCell ref="D1401:E1401"/>
    <mergeCell ref="F1401:G1401"/>
    <mergeCell ref="D1403:E1403"/>
    <mergeCell ref="F1403:G1403"/>
    <mergeCell ref="B1409:C1409"/>
    <mergeCell ref="B1410:C1410"/>
    <mergeCell ref="B1413:C1413"/>
    <mergeCell ref="B1414:C1414"/>
    <mergeCell ref="B1418:C1418"/>
    <mergeCell ref="B1419:C1419"/>
    <mergeCell ref="B1425:C1425"/>
    <mergeCell ref="B1440:G1440"/>
    <mergeCell ref="B1442:G1442"/>
    <mergeCell ref="B1443:G1443"/>
    <mergeCell ref="B1444:G1444"/>
    <mergeCell ref="D1445:E1445"/>
    <mergeCell ref="F1445:G1445"/>
    <mergeCell ref="D1447:E1447"/>
    <mergeCell ref="F1447:G1447"/>
    <mergeCell ref="B1453:C1453"/>
    <mergeCell ref="B1454:C1454"/>
    <mergeCell ref="B1457:C1457"/>
    <mergeCell ref="B1458:C1458"/>
    <mergeCell ref="B1462:C1462"/>
    <mergeCell ref="B1463:C1463"/>
    <mergeCell ref="B1469:G1469"/>
    <mergeCell ref="B1471:G1471"/>
    <mergeCell ref="B1472:G1472"/>
    <mergeCell ref="B1473:G1473"/>
    <mergeCell ref="D1474:E1474"/>
    <mergeCell ref="F1474:G1474"/>
    <mergeCell ref="D1476:E1476"/>
    <mergeCell ref="F1476:G1476"/>
    <mergeCell ref="B1482:C1482"/>
    <mergeCell ref="B1483:C1483"/>
    <mergeCell ref="B1486:C1486"/>
    <mergeCell ref="B1487:C1487"/>
    <mergeCell ref="B1491:C1491"/>
    <mergeCell ref="B1492:C1492"/>
    <mergeCell ref="B1497:C1497"/>
    <mergeCell ref="B1512:G1512"/>
    <mergeCell ref="B1514:G1514"/>
    <mergeCell ref="B1515:G1515"/>
    <mergeCell ref="B1516:G1516"/>
    <mergeCell ref="D1517:E1517"/>
    <mergeCell ref="F1517:G1517"/>
    <mergeCell ref="D1519:E1519"/>
    <mergeCell ref="F1519:G1519"/>
    <mergeCell ref="B1525:C1525"/>
    <mergeCell ref="B1526:C1526"/>
    <mergeCell ref="B1529:C1529"/>
    <mergeCell ref="B1530:C1530"/>
    <mergeCell ref="B1534:C1534"/>
    <mergeCell ref="B1535:C1535"/>
    <mergeCell ref="B1541:G1541"/>
    <mergeCell ref="B1543:G1543"/>
    <mergeCell ref="B1544:G1544"/>
    <mergeCell ref="B1545:G1545"/>
    <mergeCell ref="D1546:E1546"/>
    <mergeCell ref="F1546:G1546"/>
    <mergeCell ref="D1548:E1548"/>
    <mergeCell ref="F1548:G1548"/>
    <mergeCell ref="B1554:C1554"/>
    <mergeCell ref="B1555:C1555"/>
    <mergeCell ref="B1558:C1558"/>
    <mergeCell ref="B1559:C1559"/>
    <mergeCell ref="B1563:C1563"/>
    <mergeCell ref="B1564:C1564"/>
    <mergeCell ref="B1570:C1570"/>
    <mergeCell ref="B1585:G1585"/>
    <mergeCell ref="B1587:G1587"/>
    <mergeCell ref="B1588:G1588"/>
    <mergeCell ref="B1589:G1589"/>
    <mergeCell ref="D1590:E1590"/>
    <mergeCell ref="F1590:G1590"/>
    <mergeCell ref="D1592:E1592"/>
    <mergeCell ref="F1592:G1592"/>
    <mergeCell ref="B1598:C1598"/>
    <mergeCell ref="B1599:C1599"/>
    <mergeCell ref="B1602:C1602"/>
    <mergeCell ref="B1603:C1603"/>
    <mergeCell ref="B1607:C1607"/>
    <mergeCell ref="B1608:C1608"/>
    <mergeCell ref="B1613:C1613"/>
    <mergeCell ref="B1627:G1627"/>
    <mergeCell ref="B1629:G1629"/>
    <mergeCell ref="B1630:G1630"/>
    <mergeCell ref="B1631:G1631"/>
    <mergeCell ref="D1632:E1632"/>
    <mergeCell ref="F1632:G1632"/>
    <mergeCell ref="D1634:E1634"/>
    <mergeCell ref="F1634:G1634"/>
    <mergeCell ref="B1640:C1640"/>
    <mergeCell ref="B1641:C1641"/>
    <mergeCell ref="B1644:C1644"/>
    <mergeCell ref="B1645:C1645"/>
    <mergeCell ref="B1649:C1649"/>
    <mergeCell ref="B1650:C1650"/>
    <mergeCell ref="B1655:C1655"/>
    <mergeCell ref="B1669:G1669"/>
    <mergeCell ref="B1671:G1671"/>
    <mergeCell ref="B1672:G1672"/>
    <mergeCell ref="B1673:G1673"/>
    <mergeCell ref="D1674:E1674"/>
    <mergeCell ref="F1674:G1674"/>
    <mergeCell ref="D1676:E1676"/>
    <mergeCell ref="F1676:G1676"/>
    <mergeCell ref="B1682:C1682"/>
    <mergeCell ref="B1683:C1683"/>
    <mergeCell ref="B1686:C1686"/>
    <mergeCell ref="B1687:C1687"/>
    <mergeCell ref="B1691:C1691"/>
    <mergeCell ref="B1692:C1692"/>
    <mergeCell ref="B1697:C1697"/>
    <mergeCell ref="B1711:G1711"/>
    <mergeCell ref="B1712:C1712"/>
    <mergeCell ref="B1714:G1714"/>
    <mergeCell ref="B1715:G1715"/>
    <mergeCell ref="B1716:G1716"/>
    <mergeCell ref="D1717:E1717"/>
    <mergeCell ref="F1717:G1717"/>
    <mergeCell ref="D1719:E1719"/>
    <mergeCell ref="F1719:G1719"/>
    <mergeCell ref="B1725:C1725"/>
    <mergeCell ref="B1726:C1726"/>
    <mergeCell ref="B1729:C1729"/>
    <mergeCell ref="B1730:C1730"/>
    <mergeCell ref="B1734:C1734"/>
    <mergeCell ref="B1735:C1735"/>
    <mergeCell ref="B1741:G1741"/>
    <mergeCell ref="B1743:G1743"/>
    <mergeCell ref="B1744:G1744"/>
    <mergeCell ref="B1745:G1745"/>
    <mergeCell ref="D1746:E1746"/>
    <mergeCell ref="F1746:G1746"/>
    <mergeCell ref="D1748:E1748"/>
    <mergeCell ref="F1748:G1748"/>
    <mergeCell ref="B1754:C1754"/>
    <mergeCell ref="B1755:C1755"/>
    <mergeCell ref="B1758:C1758"/>
    <mergeCell ref="B1759:C1759"/>
    <mergeCell ref="B1763:C1763"/>
    <mergeCell ref="B1764:C1764"/>
    <mergeCell ref="B1770:C1770"/>
    <mergeCell ref="B1786:G1786"/>
    <mergeCell ref="B1788:G1788"/>
    <mergeCell ref="B1789:G1789"/>
    <mergeCell ref="B1790:G1790"/>
    <mergeCell ref="D1791:E1791"/>
    <mergeCell ref="F1791:G1791"/>
    <mergeCell ref="D1793:E1793"/>
    <mergeCell ref="F1793:G1793"/>
    <mergeCell ref="B1799:C1799"/>
    <mergeCell ref="B1800:C1800"/>
    <mergeCell ref="B1803:C1803"/>
    <mergeCell ref="B1804:C1804"/>
    <mergeCell ref="B1808:C1808"/>
    <mergeCell ref="B1809:C1809"/>
    <mergeCell ref="B1814:C1814"/>
    <mergeCell ref="B1831:G1831"/>
    <mergeCell ref="B1833:G1833"/>
    <mergeCell ref="B1834:G1834"/>
    <mergeCell ref="B1835:G1835"/>
    <mergeCell ref="D1836:E1836"/>
    <mergeCell ref="F1836:G1836"/>
    <mergeCell ref="D1838:E1838"/>
    <mergeCell ref="F1838:G1838"/>
    <mergeCell ref="B1844:C1844"/>
    <mergeCell ref="B1845:C1845"/>
    <mergeCell ref="B1848:C1848"/>
    <mergeCell ref="B1849:C1849"/>
    <mergeCell ref="B1853:C1853"/>
    <mergeCell ref="B1854:C1854"/>
    <mergeCell ref="B1860:G1860"/>
    <mergeCell ref="B1862:G1862"/>
    <mergeCell ref="B1863:G1863"/>
    <mergeCell ref="B1864:G1864"/>
    <mergeCell ref="D1865:E1865"/>
    <mergeCell ref="F1865:G1865"/>
    <mergeCell ref="D1867:E1867"/>
    <mergeCell ref="F1867:G1867"/>
    <mergeCell ref="B1873:C1873"/>
    <mergeCell ref="B1874:C1874"/>
    <mergeCell ref="B1877:C1877"/>
    <mergeCell ref="B1878:C1878"/>
    <mergeCell ref="B1882:C1882"/>
    <mergeCell ref="B1883:C1883"/>
    <mergeCell ref="B1889:G1889"/>
    <mergeCell ref="B1891:G1891"/>
    <mergeCell ref="B1892:G1892"/>
    <mergeCell ref="B1893:G1893"/>
    <mergeCell ref="D1894:E1894"/>
    <mergeCell ref="F1894:G1894"/>
    <mergeCell ref="D1896:E1896"/>
    <mergeCell ref="F1896:G1896"/>
    <mergeCell ref="B1902:C1902"/>
    <mergeCell ref="B1903:C1903"/>
    <mergeCell ref="B1906:C1906"/>
    <mergeCell ref="B1907:C1907"/>
    <mergeCell ref="B1911:C1911"/>
    <mergeCell ref="B1912:C1912"/>
    <mergeCell ref="B1918:G1918"/>
    <mergeCell ref="B1920:G1920"/>
    <mergeCell ref="B1921:G1921"/>
    <mergeCell ref="B1922:G1922"/>
    <mergeCell ref="D1923:E1923"/>
    <mergeCell ref="F1923:G1923"/>
    <mergeCell ref="D1925:E1925"/>
    <mergeCell ref="F1925:G1925"/>
    <mergeCell ref="B1931:C1931"/>
    <mergeCell ref="B1932:C1932"/>
    <mergeCell ref="B1935:C1935"/>
    <mergeCell ref="B1936:C1936"/>
    <mergeCell ref="B1940:C1940"/>
    <mergeCell ref="B1941:C1941"/>
    <mergeCell ref="B1947:G1947"/>
    <mergeCell ref="B1949:G1949"/>
    <mergeCell ref="B1950:G1950"/>
    <mergeCell ref="B1951:G1951"/>
    <mergeCell ref="D1952:E1952"/>
    <mergeCell ref="F1952:G1952"/>
    <mergeCell ref="D1954:E1954"/>
    <mergeCell ref="F1954:G1954"/>
    <mergeCell ref="B1960:C1960"/>
    <mergeCell ref="B1961:C1961"/>
    <mergeCell ref="B1964:C1964"/>
    <mergeCell ref="B1965:C1965"/>
    <mergeCell ref="B1969:C1969"/>
    <mergeCell ref="B1970:C1970"/>
    <mergeCell ref="B1975:C1975"/>
    <mergeCell ref="B1992:G1992"/>
    <mergeCell ref="B1993:C1993"/>
    <mergeCell ref="B1995:G1995"/>
    <mergeCell ref="B1996:G1996"/>
    <mergeCell ref="B1997:G1997"/>
    <mergeCell ref="D1998:E1998"/>
    <mergeCell ref="F1998:G1998"/>
    <mergeCell ref="D2000:E2000"/>
    <mergeCell ref="F2000:G2000"/>
    <mergeCell ref="B2006:C2006"/>
    <mergeCell ref="B2007:C2007"/>
    <mergeCell ref="B2010:C2010"/>
    <mergeCell ref="B2011:C2011"/>
    <mergeCell ref="B2015:C2015"/>
    <mergeCell ref="B2016:C2016"/>
    <mergeCell ref="B2021:C2021"/>
    <mergeCell ref="B2035:G2035"/>
    <mergeCell ref="B2037:G2037"/>
    <mergeCell ref="B2038:G2038"/>
    <mergeCell ref="B2039:G2039"/>
    <mergeCell ref="D2040:E2040"/>
    <mergeCell ref="F2040:G2040"/>
    <mergeCell ref="D2042:E2042"/>
    <mergeCell ref="F2042:G2042"/>
    <mergeCell ref="B2048:C2048"/>
    <mergeCell ref="B2049:C2049"/>
    <mergeCell ref="B2052:C2052"/>
    <mergeCell ref="B2053:C2053"/>
    <mergeCell ref="B2057:C2057"/>
    <mergeCell ref="B2058:C2058"/>
    <mergeCell ref="B2064:C2064"/>
    <mergeCell ref="B2078:G2078"/>
    <mergeCell ref="B2080:G2080"/>
    <mergeCell ref="B2081:G2081"/>
    <mergeCell ref="B2082:G2082"/>
    <mergeCell ref="D2083:E2083"/>
    <mergeCell ref="F2083:G2083"/>
    <mergeCell ref="D2085:E2085"/>
    <mergeCell ref="F2085:G2085"/>
    <mergeCell ref="B2091:C2091"/>
    <mergeCell ref="B2092:C2092"/>
    <mergeCell ref="B2095:C2095"/>
    <mergeCell ref="B2096:C2096"/>
    <mergeCell ref="B2100:C2100"/>
    <mergeCell ref="B2101:C2101"/>
    <mergeCell ref="B2107:C2107"/>
    <mergeCell ref="B2121:G2121"/>
    <mergeCell ref="B2123:G2123"/>
    <mergeCell ref="B2124:G2124"/>
    <mergeCell ref="B2125:G2125"/>
    <mergeCell ref="D2126:E2126"/>
    <mergeCell ref="F2126:G2126"/>
    <mergeCell ref="D2128:E2128"/>
    <mergeCell ref="F2128:G2128"/>
    <mergeCell ref="B2134:C2134"/>
    <mergeCell ref="B2135:C2135"/>
    <mergeCell ref="B2138:C2138"/>
    <mergeCell ref="B2139:C2139"/>
    <mergeCell ref="B2143:C2143"/>
    <mergeCell ref="B2144:C2144"/>
    <mergeCell ref="B2149:C2149"/>
    <mergeCell ref="B2163:G2163"/>
    <mergeCell ref="B2165:G2165"/>
    <mergeCell ref="B2166:G2166"/>
    <mergeCell ref="B2167:G2167"/>
    <mergeCell ref="D2168:E2168"/>
    <mergeCell ref="F2168:G2168"/>
    <mergeCell ref="D2170:E2170"/>
    <mergeCell ref="F2170:G2170"/>
    <mergeCell ref="B2176:C2176"/>
    <mergeCell ref="B2177:C2177"/>
    <mergeCell ref="B2180:C2180"/>
    <mergeCell ref="B2181:C2181"/>
    <mergeCell ref="B2185:C2185"/>
    <mergeCell ref="B2186:C2186"/>
    <mergeCell ref="B2191:C2191"/>
    <mergeCell ref="B2205:G2205"/>
    <mergeCell ref="B2207:G2207"/>
    <mergeCell ref="B2208:G2208"/>
    <mergeCell ref="B2209:G2209"/>
    <mergeCell ref="D2210:E2210"/>
    <mergeCell ref="F2210:G2210"/>
    <mergeCell ref="D2212:E2212"/>
    <mergeCell ref="F2212:G2212"/>
    <mergeCell ref="B2218:C2218"/>
    <mergeCell ref="B2219:C2219"/>
    <mergeCell ref="B2222:C2222"/>
    <mergeCell ref="B2223:C2223"/>
    <mergeCell ref="B2227:C2227"/>
    <mergeCell ref="B2228:C2228"/>
    <mergeCell ref="B2233:C2233"/>
    <mergeCell ref="B2247:G2247"/>
    <mergeCell ref="B2249:G2249"/>
    <mergeCell ref="B2250:G2250"/>
    <mergeCell ref="B2251:G2251"/>
    <mergeCell ref="D2252:E2252"/>
    <mergeCell ref="F2252:G2252"/>
    <mergeCell ref="D2254:E2254"/>
    <mergeCell ref="F2254:G2254"/>
    <mergeCell ref="B2260:C2260"/>
    <mergeCell ref="B2261:C2261"/>
    <mergeCell ref="B2264:C2264"/>
    <mergeCell ref="B2265:C2265"/>
    <mergeCell ref="B2269:C2269"/>
    <mergeCell ref="B2270:C2270"/>
    <mergeCell ref="B2275:C2275"/>
    <mergeCell ref="B2292:G2292"/>
    <mergeCell ref="B2294:C2294"/>
    <mergeCell ref="B2295:G2295"/>
    <mergeCell ref="B2296:G2296"/>
    <mergeCell ref="B2297:G2297"/>
    <mergeCell ref="D2298:E2298"/>
    <mergeCell ref="F2298:G2298"/>
    <mergeCell ref="D2300:E2300"/>
    <mergeCell ref="F2300:G2300"/>
    <mergeCell ref="B2306:C2306"/>
    <mergeCell ref="B2307:C2307"/>
    <mergeCell ref="B2310:C2310"/>
    <mergeCell ref="B2311:C2311"/>
    <mergeCell ref="B2315:C2315"/>
    <mergeCell ref="B2316:C2316"/>
    <mergeCell ref="B2322:C2322"/>
    <mergeCell ref="B2336:G2336"/>
    <mergeCell ref="B2338:G2338"/>
    <mergeCell ref="B2339:G2339"/>
    <mergeCell ref="B2340:G2340"/>
    <mergeCell ref="D2341:E2341"/>
    <mergeCell ref="F2341:G2341"/>
    <mergeCell ref="D2343:E2343"/>
    <mergeCell ref="F2343:G2343"/>
    <mergeCell ref="B2349:C2349"/>
    <mergeCell ref="B2350:C2350"/>
    <mergeCell ref="B2353:C2353"/>
    <mergeCell ref="B2354:C2354"/>
    <mergeCell ref="B2358:C2358"/>
    <mergeCell ref="B2359:C2359"/>
    <mergeCell ref="B2365:C2365"/>
    <mergeCell ref="B2379:G2379"/>
    <mergeCell ref="B2381:G2381"/>
    <mergeCell ref="B2382:G2382"/>
    <mergeCell ref="B2383:G2383"/>
    <mergeCell ref="D2384:E2384"/>
    <mergeCell ref="F2384:G2384"/>
    <mergeCell ref="D2386:E2386"/>
    <mergeCell ref="F2386:G2386"/>
    <mergeCell ref="B2392:C2392"/>
    <mergeCell ref="B2393:C2393"/>
    <mergeCell ref="B2396:C2396"/>
    <mergeCell ref="B2397:C2397"/>
    <mergeCell ref="B2401:C2401"/>
    <mergeCell ref="B2402:C2402"/>
    <mergeCell ref="B2408:C2408"/>
    <mergeCell ref="B2422:G2422"/>
    <mergeCell ref="B2424:G2424"/>
    <mergeCell ref="B2425:G2425"/>
    <mergeCell ref="B2426:G2426"/>
    <mergeCell ref="D2427:E2427"/>
    <mergeCell ref="F2427:G2427"/>
    <mergeCell ref="D2429:E2429"/>
    <mergeCell ref="F2429:G2429"/>
    <mergeCell ref="B2435:C2435"/>
    <mergeCell ref="B2436:C2436"/>
    <mergeCell ref="B2439:C2439"/>
    <mergeCell ref="B2440:C2440"/>
    <mergeCell ref="B2444:C2444"/>
    <mergeCell ref="B2445:C2445"/>
    <mergeCell ref="B2451:C2451"/>
    <mergeCell ref="B2465:G2465"/>
    <mergeCell ref="B2467:G2467"/>
    <mergeCell ref="B2468:G2468"/>
    <mergeCell ref="B2469:G2469"/>
    <mergeCell ref="D2470:E2470"/>
    <mergeCell ref="F2470:G2470"/>
    <mergeCell ref="D2472:E2472"/>
    <mergeCell ref="F2472:G2472"/>
    <mergeCell ref="B2478:C2478"/>
    <mergeCell ref="B2479:C2479"/>
    <mergeCell ref="B2482:C2482"/>
    <mergeCell ref="B2483:C2483"/>
    <mergeCell ref="B2487:C2487"/>
    <mergeCell ref="B2488:C2488"/>
    <mergeCell ref="B2493:C2493"/>
    <mergeCell ref="B2507:G2507"/>
    <mergeCell ref="B2510:G2510"/>
    <mergeCell ref="B2511:G2511"/>
    <mergeCell ref="B2512:G2512"/>
    <mergeCell ref="D2513:E2513"/>
    <mergeCell ref="F2513:G2513"/>
    <mergeCell ref="D2515:E2515"/>
    <mergeCell ref="F2515:G2515"/>
    <mergeCell ref="B2521:C2521"/>
    <mergeCell ref="B2522:C2522"/>
    <mergeCell ref="B2525:C2525"/>
    <mergeCell ref="B2526:C2526"/>
    <mergeCell ref="B2530:C2530"/>
    <mergeCell ref="B2531:C2531"/>
    <mergeCell ref="B2537:G2537"/>
    <mergeCell ref="B2539:G2539"/>
    <mergeCell ref="B2540:G2540"/>
    <mergeCell ref="B2541:G2541"/>
    <mergeCell ref="D2542:E2542"/>
    <mergeCell ref="F2542:G2542"/>
    <mergeCell ref="D2544:E2544"/>
    <mergeCell ref="F2544:G2544"/>
    <mergeCell ref="B2550:C2550"/>
    <mergeCell ref="B2551:C2551"/>
    <mergeCell ref="B2554:C2554"/>
    <mergeCell ref="B2555:C2555"/>
    <mergeCell ref="B2559:C2559"/>
    <mergeCell ref="B2560:C2560"/>
    <mergeCell ref="B2566:G2566"/>
    <mergeCell ref="B2568:G2568"/>
    <mergeCell ref="B2569:G2569"/>
    <mergeCell ref="B2570:G2570"/>
    <mergeCell ref="D2571:E2571"/>
    <mergeCell ref="F2571:G2571"/>
    <mergeCell ref="D2573:E2573"/>
    <mergeCell ref="F2573:G2573"/>
    <mergeCell ref="B2579:C2579"/>
    <mergeCell ref="B2580:C2580"/>
    <mergeCell ref="B2583:C2583"/>
    <mergeCell ref="B2584:C2584"/>
    <mergeCell ref="B2588:C2588"/>
    <mergeCell ref="B2589:C2589"/>
    <mergeCell ref="B2595:G2595"/>
    <mergeCell ref="B2597:G2597"/>
    <mergeCell ref="B2598:G2598"/>
    <mergeCell ref="B2599:G2599"/>
    <mergeCell ref="D2600:E2600"/>
    <mergeCell ref="F2600:G2600"/>
    <mergeCell ref="D2602:E2602"/>
    <mergeCell ref="F2602:G2602"/>
    <mergeCell ref="B2608:C2608"/>
    <mergeCell ref="B2609:C2609"/>
    <mergeCell ref="B2612:C2612"/>
    <mergeCell ref="B2613:C2613"/>
    <mergeCell ref="B2617:C2617"/>
    <mergeCell ref="B2618:C2618"/>
    <mergeCell ref="B2624:G2624"/>
    <mergeCell ref="B2626:G2626"/>
    <mergeCell ref="B2627:G2627"/>
    <mergeCell ref="B2628:G2628"/>
    <mergeCell ref="D2629:E2629"/>
    <mergeCell ref="F2629:G2629"/>
    <mergeCell ref="D2631:E2631"/>
    <mergeCell ref="F2631:G2631"/>
    <mergeCell ref="B2637:C2637"/>
    <mergeCell ref="B2638:C2638"/>
    <mergeCell ref="B2641:C2641"/>
    <mergeCell ref="B2642:C2642"/>
    <mergeCell ref="B2646:C2646"/>
    <mergeCell ref="B2647:C2647"/>
    <mergeCell ref="B2661:G2661"/>
    <mergeCell ref="B2663:G2663"/>
    <mergeCell ref="B2664:G2664"/>
    <mergeCell ref="B2665:G2665"/>
    <mergeCell ref="D2666:E2666"/>
    <mergeCell ref="F2666:G2666"/>
    <mergeCell ref="D2668:E2668"/>
    <mergeCell ref="F2668:G2668"/>
    <mergeCell ref="B2674:C2674"/>
    <mergeCell ref="B2675:C2675"/>
    <mergeCell ref="B2678:C2678"/>
    <mergeCell ref="B2679:C2679"/>
    <mergeCell ref="B2683:C2683"/>
    <mergeCell ref="B2684:C2684"/>
    <mergeCell ref="B2690:G2690"/>
    <mergeCell ref="B2692:G2692"/>
    <mergeCell ref="B2693:G2693"/>
    <mergeCell ref="B2694:G2694"/>
    <mergeCell ref="D2695:E2695"/>
    <mergeCell ref="F2695:G2695"/>
    <mergeCell ref="D2697:E2697"/>
    <mergeCell ref="F2697:G2697"/>
    <mergeCell ref="B2703:C2703"/>
    <mergeCell ref="B2704:C2704"/>
    <mergeCell ref="B2707:C2707"/>
    <mergeCell ref="B2708:C2708"/>
    <mergeCell ref="B2712:C2712"/>
    <mergeCell ref="B2713:C2713"/>
    <mergeCell ref="B2719:G2719"/>
    <mergeCell ref="B2721:G2721"/>
    <mergeCell ref="B2722:G2722"/>
    <mergeCell ref="B2723:G2723"/>
    <mergeCell ref="D2724:E2724"/>
    <mergeCell ref="F2724:G2724"/>
    <mergeCell ref="D2726:E2726"/>
    <mergeCell ref="F2726:G2726"/>
    <mergeCell ref="B2732:C2732"/>
    <mergeCell ref="B2733:C2733"/>
    <mergeCell ref="B2736:C2736"/>
    <mergeCell ref="B2737:C2737"/>
    <mergeCell ref="B2741:C2741"/>
    <mergeCell ref="B2742:C2742"/>
    <mergeCell ref="B2747:C2747"/>
    <mergeCell ref="B2761:G2761"/>
    <mergeCell ref="B2763:G2763"/>
    <mergeCell ref="B2764:G2764"/>
    <mergeCell ref="B2765:G2765"/>
    <mergeCell ref="D2766:E2766"/>
    <mergeCell ref="F2766:G2766"/>
    <mergeCell ref="D2768:E2768"/>
    <mergeCell ref="F2768:G2768"/>
    <mergeCell ref="B2774:C2774"/>
    <mergeCell ref="B2775:C2775"/>
    <mergeCell ref="B2778:C2778"/>
    <mergeCell ref="B2779:C2779"/>
    <mergeCell ref="B2783:C2783"/>
    <mergeCell ref="B2784:C2784"/>
    <mergeCell ref="B2790:C2790"/>
    <mergeCell ref="B2807:G2807"/>
    <mergeCell ref="B2809:G2809"/>
    <mergeCell ref="B2810:G2810"/>
    <mergeCell ref="B2811:G2811"/>
    <mergeCell ref="D2812:E2812"/>
    <mergeCell ref="F2812:G2812"/>
    <mergeCell ref="D2814:E2814"/>
    <mergeCell ref="F2814:G2814"/>
    <mergeCell ref="B2820:C2820"/>
    <mergeCell ref="B2821:C2821"/>
    <mergeCell ref="B2824:C2824"/>
    <mergeCell ref="B2825:C2825"/>
    <mergeCell ref="B2829:C2829"/>
    <mergeCell ref="B2830:C2830"/>
    <mergeCell ref="B2836:G2836"/>
    <mergeCell ref="B2838:G2838"/>
    <mergeCell ref="B2839:G2839"/>
    <mergeCell ref="B2840:G2840"/>
    <mergeCell ref="D2841:E2841"/>
    <mergeCell ref="F2841:G2841"/>
    <mergeCell ref="D2843:E2843"/>
    <mergeCell ref="F2843:G2843"/>
    <mergeCell ref="B2849:C2849"/>
    <mergeCell ref="B2850:C2850"/>
    <mergeCell ref="B2853:C2853"/>
    <mergeCell ref="B2854:C2854"/>
    <mergeCell ref="B2858:C2858"/>
    <mergeCell ref="B2859:C2859"/>
    <mergeCell ref="B2865:G2865"/>
    <mergeCell ref="B2867:G2867"/>
    <mergeCell ref="B2868:G2868"/>
    <mergeCell ref="B2869:G2869"/>
    <mergeCell ref="D2870:E2870"/>
    <mergeCell ref="F2870:G2870"/>
    <mergeCell ref="D2872:E2872"/>
    <mergeCell ref="F2872:G2872"/>
    <mergeCell ref="B2878:C2878"/>
    <mergeCell ref="B2879:C2879"/>
    <mergeCell ref="B2882:C2882"/>
    <mergeCell ref="B2883:C2883"/>
    <mergeCell ref="B2887:C2887"/>
    <mergeCell ref="B2888:C2888"/>
    <mergeCell ref="B2894:G2894"/>
    <mergeCell ref="B2896:G2896"/>
    <mergeCell ref="B2897:G2897"/>
    <mergeCell ref="B2898:G2898"/>
    <mergeCell ref="D2899:E2899"/>
    <mergeCell ref="F2899:G2899"/>
    <mergeCell ref="D2901:E2901"/>
    <mergeCell ref="F2901:G2901"/>
    <mergeCell ref="B2907:C2907"/>
    <mergeCell ref="B2908:C2908"/>
    <mergeCell ref="B2911:C2911"/>
    <mergeCell ref="B2912:C2912"/>
    <mergeCell ref="B2916:C2916"/>
    <mergeCell ref="B2917:C2917"/>
    <mergeCell ref="B2922:C2922"/>
    <mergeCell ref="B2939:G2939"/>
    <mergeCell ref="B2942:G2942"/>
    <mergeCell ref="B2943:G2943"/>
    <mergeCell ref="B2944:G2944"/>
    <mergeCell ref="D2945:E2945"/>
    <mergeCell ref="F2945:G2945"/>
    <mergeCell ref="D2947:E2947"/>
    <mergeCell ref="F2947:G2947"/>
    <mergeCell ref="B2953:C2953"/>
    <mergeCell ref="B2954:C2954"/>
    <mergeCell ref="B2957:C2957"/>
    <mergeCell ref="B2958:C2958"/>
    <mergeCell ref="B2962:C2962"/>
    <mergeCell ref="B2963:C2963"/>
    <mergeCell ref="B2969:G2969"/>
    <mergeCell ref="B2971:G2971"/>
    <mergeCell ref="B2972:G2972"/>
    <mergeCell ref="B2973:G2973"/>
    <mergeCell ref="D2974:E2974"/>
    <mergeCell ref="F2974:G2974"/>
    <mergeCell ref="D2976:E2976"/>
    <mergeCell ref="F2976:G2976"/>
    <mergeCell ref="B2982:C2982"/>
    <mergeCell ref="B2983:C2983"/>
    <mergeCell ref="B2986:C2986"/>
    <mergeCell ref="B2987:C2987"/>
    <mergeCell ref="B2991:C2991"/>
    <mergeCell ref="B2992:C2992"/>
    <mergeCell ref="B2998:G2998"/>
    <mergeCell ref="B2999:C2999"/>
    <mergeCell ref="B3000:G3000"/>
    <mergeCell ref="B3001:G3001"/>
    <mergeCell ref="B3002:G3002"/>
    <mergeCell ref="D3003:E3003"/>
    <mergeCell ref="F3003:G3003"/>
    <mergeCell ref="D3005:E3005"/>
    <mergeCell ref="F3005:G3005"/>
    <mergeCell ref="B3011:C3011"/>
    <mergeCell ref="B3012:C3012"/>
    <mergeCell ref="B3015:C3015"/>
    <mergeCell ref="B3016:C3016"/>
    <mergeCell ref="B3020:C3020"/>
    <mergeCell ref="B3021:C3021"/>
    <mergeCell ref="B3026:C3026"/>
    <mergeCell ref="B3041:G3041"/>
    <mergeCell ref="B3043:G3043"/>
    <mergeCell ref="B3044:G3044"/>
    <mergeCell ref="B3045:G3045"/>
    <mergeCell ref="D3046:E3046"/>
    <mergeCell ref="F3046:G3046"/>
    <mergeCell ref="D3048:E3048"/>
    <mergeCell ref="F3048:G3048"/>
    <mergeCell ref="B3054:C3054"/>
    <mergeCell ref="B3055:C3055"/>
    <mergeCell ref="B3058:C3058"/>
    <mergeCell ref="B3059:C3059"/>
    <mergeCell ref="B3063:C3063"/>
    <mergeCell ref="B3064:C3064"/>
    <mergeCell ref="B3069:C3069"/>
    <mergeCell ref="B3084:G3084"/>
    <mergeCell ref="B3087:G3087"/>
    <mergeCell ref="B3088:G3088"/>
    <mergeCell ref="B3089:G3089"/>
    <mergeCell ref="D3090:E3090"/>
    <mergeCell ref="F3090:G3090"/>
    <mergeCell ref="D3092:E3092"/>
    <mergeCell ref="F3092:G3092"/>
    <mergeCell ref="B3098:C3098"/>
    <mergeCell ref="B3099:C3099"/>
    <mergeCell ref="B3102:C3102"/>
    <mergeCell ref="B3103:C3103"/>
    <mergeCell ref="B3107:C3107"/>
    <mergeCell ref="B3108:C3108"/>
    <mergeCell ref="B3114:C3114"/>
    <mergeCell ref="B3128:G3128"/>
    <mergeCell ref="B3130:G3130"/>
    <mergeCell ref="B3131:G3131"/>
    <mergeCell ref="B3132:G3132"/>
    <mergeCell ref="D3133:E3133"/>
    <mergeCell ref="F3133:G3133"/>
    <mergeCell ref="D3135:E3135"/>
    <mergeCell ref="F3135:G3135"/>
    <mergeCell ref="B3141:C3141"/>
    <mergeCell ref="B3142:C3142"/>
    <mergeCell ref="B3145:C3145"/>
    <mergeCell ref="B3146:C3146"/>
    <mergeCell ref="B3150:C3150"/>
    <mergeCell ref="B3151:C3151"/>
    <mergeCell ref="B3157:C3157"/>
    <mergeCell ref="B3171:G3171"/>
    <mergeCell ref="B3173:G3173"/>
    <mergeCell ref="B3174:G3174"/>
    <mergeCell ref="B3175:G3175"/>
    <mergeCell ref="D3176:E3176"/>
    <mergeCell ref="F3176:G3176"/>
    <mergeCell ref="D3178:E3178"/>
    <mergeCell ref="F3178:G3178"/>
    <mergeCell ref="B3184:C3184"/>
    <mergeCell ref="B3185:C3185"/>
    <mergeCell ref="B3188:C3188"/>
    <mergeCell ref="B3189:C3189"/>
    <mergeCell ref="B3193:C3193"/>
    <mergeCell ref="B3194:C3194"/>
    <mergeCell ref="B3199:C3199"/>
    <mergeCell ref="B3212:G3212"/>
    <mergeCell ref="B3214:G3214"/>
    <mergeCell ref="B3215:G3215"/>
    <mergeCell ref="B3216:G3216"/>
    <mergeCell ref="D3217:E3217"/>
    <mergeCell ref="F3217:G3217"/>
    <mergeCell ref="D3219:E3219"/>
    <mergeCell ref="F3219:G3219"/>
    <mergeCell ref="B3225:C3225"/>
    <mergeCell ref="B3226:C3226"/>
    <mergeCell ref="B3229:C3229"/>
    <mergeCell ref="B3230:C3230"/>
    <mergeCell ref="B3234:C3234"/>
    <mergeCell ref="B3235:C3235"/>
    <mergeCell ref="B3241:C3241"/>
    <mergeCell ref="B3255:G3255"/>
    <mergeCell ref="B3257:G3257"/>
    <mergeCell ref="B3258:G3258"/>
    <mergeCell ref="B3259:G3259"/>
    <mergeCell ref="D3260:E3260"/>
    <mergeCell ref="F3260:G3260"/>
    <mergeCell ref="D3262:E3262"/>
    <mergeCell ref="F3262:G3262"/>
    <mergeCell ref="B3268:C3268"/>
    <mergeCell ref="B3269:C3269"/>
    <mergeCell ref="B3272:C3272"/>
    <mergeCell ref="B3273:C3273"/>
    <mergeCell ref="B3277:C3277"/>
    <mergeCell ref="B3278:C3278"/>
    <mergeCell ref="B3283:C3283"/>
    <mergeCell ref="B3297:G3297"/>
    <mergeCell ref="B3298:C3298"/>
    <mergeCell ref="B3299:C3299"/>
    <mergeCell ref="B3300:G3300"/>
    <mergeCell ref="B3301:G3301"/>
    <mergeCell ref="B3302:G3302"/>
    <mergeCell ref="D3303:E3303"/>
    <mergeCell ref="F3303:G3303"/>
    <mergeCell ref="D3305:E3305"/>
    <mergeCell ref="F3305:G3305"/>
    <mergeCell ref="B3311:C3311"/>
    <mergeCell ref="B3312:C3312"/>
    <mergeCell ref="B3315:C3315"/>
    <mergeCell ref="B3316:C3316"/>
    <mergeCell ref="B3320:C3320"/>
    <mergeCell ref="B3321:C3321"/>
    <mergeCell ref="B3327:C3327"/>
    <mergeCell ref="B3341:G3341"/>
    <mergeCell ref="B3343:G3343"/>
    <mergeCell ref="B3344:G3344"/>
    <mergeCell ref="B3345:G3345"/>
    <mergeCell ref="D3346:E3346"/>
    <mergeCell ref="F3346:G3346"/>
    <mergeCell ref="D3348:E3348"/>
    <mergeCell ref="F3348:G3348"/>
    <mergeCell ref="B3354:C3354"/>
    <mergeCell ref="B3355:C3355"/>
    <mergeCell ref="B3358:C3358"/>
    <mergeCell ref="B3359:C3359"/>
    <mergeCell ref="B3363:C3363"/>
    <mergeCell ref="B3364:C3364"/>
    <mergeCell ref="B3370:C3370"/>
    <mergeCell ref="B3384:G3384"/>
    <mergeCell ref="B3386:G3386"/>
    <mergeCell ref="B3387:G3387"/>
    <mergeCell ref="B3388:G3388"/>
    <mergeCell ref="D3389:E3389"/>
    <mergeCell ref="F3389:G3389"/>
    <mergeCell ref="D3391:E3391"/>
    <mergeCell ref="F3391:G3391"/>
    <mergeCell ref="B3397:C3397"/>
    <mergeCell ref="B3398:C3398"/>
    <mergeCell ref="B3401:C3401"/>
    <mergeCell ref="B3402:C3402"/>
    <mergeCell ref="B3406:C3406"/>
    <mergeCell ref="B3407:C3407"/>
    <mergeCell ref="B3413:G3413"/>
    <mergeCell ref="B3415:G3415"/>
    <mergeCell ref="B3416:G3416"/>
    <mergeCell ref="B3417:G3417"/>
    <mergeCell ref="D3418:E3418"/>
    <mergeCell ref="F3418:G3418"/>
    <mergeCell ref="D3420:E3420"/>
    <mergeCell ref="F3420:G3420"/>
    <mergeCell ref="B3426:C3426"/>
    <mergeCell ref="B3427:C3427"/>
    <mergeCell ref="B3430:C3430"/>
    <mergeCell ref="B3431:C3431"/>
    <mergeCell ref="B3435:C3435"/>
    <mergeCell ref="B3436:C3436"/>
    <mergeCell ref="B3442:G3442"/>
    <mergeCell ref="B3444:G3444"/>
    <mergeCell ref="B3445:G3445"/>
    <mergeCell ref="B3446:G3446"/>
    <mergeCell ref="D3447:E3447"/>
    <mergeCell ref="F3447:G3447"/>
    <mergeCell ref="D3449:E3449"/>
    <mergeCell ref="F3449:G3449"/>
    <mergeCell ref="B3455:C3455"/>
    <mergeCell ref="B3456:C3456"/>
    <mergeCell ref="B3459:C3459"/>
    <mergeCell ref="B3460:C3460"/>
    <mergeCell ref="B3464:C3464"/>
    <mergeCell ref="B3465:C3465"/>
    <mergeCell ref="B3471:G347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2009-04-16T08:32:48Z</dcterms:created>
  <dcterms:modified xsi:type="dcterms:W3CDTF">2019-03-12T06:45:25Z</dcterms:modified>
  <cp:category/>
  <cp:version/>
  <cp:contentType/>
  <cp:contentStatus/>
  <cp:revision>3</cp:revision>
</cp:coreProperties>
</file>